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Š Zadarski otoci\Desktop\PLAN 2023-2025\"/>
    </mc:Choice>
  </mc:AlternateContent>
  <bookViews>
    <workbookView xWindow="0" yWindow="0" windowWidth="28800" windowHeight="12300" activeTab="1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Pregled ukupno" sheetId="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E11" i="3"/>
  <c r="E12" i="3"/>
  <c r="F38" i="7"/>
  <c r="F37" i="7"/>
  <c r="E37" i="7"/>
  <c r="G6" i="7" l="1"/>
  <c r="F6" i="7"/>
  <c r="F7" i="7"/>
  <c r="G7" i="7"/>
  <c r="E6" i="7"/>
  <c r="E7" i="7"/>
  <c r="G55" i="7"/>
  <c r="F55" i="7"/>
  <c r="E55" i="7"/>
  <c r="G27" i="1" l="1"/>
  <c r="G26" i="1"/>
  <c r="F27" i="1"/>
  <c r="F26" i="1"/>
  <c r="H9" i="1"/>
  <c r="H8" i="1"/>
  <c r="H13" i="1"/>
  <c r="H12" i="1"/>
  <c r="G13" i="1"/>
  <c r="G12" i="1"/>
  <c r="G9" i="1"/>
  <c r="G8" i="1"/>
  <c r="F8" i="1"/>
  <c r="F13" i="1"/>
  <c r="F12" i="1"/>
  <c r="F9" i="1"/>
  <c r="E27" i="2"/>
  <c r="E26" i="2"/>
  <c r="D33" i="2"/>
  <c r="C33" i="2"/>
  <c r="E32" i="2"/>
  <c r="C31" i="2"/>
  <c r="D27" i="2"/>
  <c r="D26" i="2"/>
  <c r="C27" i="2"/>
  <c r="C26" i="2"/>
  <c r="E23" i="2"/>
  <c r="E22" i="2"/>
  <c r="D23" i="2"/>
  <c r="D22" i="2"/>
  <c r="C23" i="2"/>
  <c r="C22" i="2"/>
  <c r="D19" i="2"/>
  <c r="E19" i="2"/>
  <c r="D18" i="2"/>
  <c r="E18" i="2"/>
  <c r="C19" i="2"/>
  <c r="C18" i="2"/>
  <c r="E14" i="2"/>
  <c r="E13" i="2"/>
  <c r="D15" i="2"/>
  <c r="D14" i="2"/>
  <c r="D13" i="2"/>
  <c r="C15" i="2"/>
  <c r="C14" i="2"/>
  <c r="C13" i="2"/>
  <c r="E10" i="2"/>
  <c r="E9" i="2"/>
  <c r="D10" i="2"/>
  <c r="D9" i="2"/>
  <c r="C10" i="2"/>
  <c r="C9" i="2"/>
  <c r="G59" i="7"/>
  <c r="F57" i="7" l="1"/>
  <c r="G45" i="7"/>
  <c r="G26" i="7"/>
  <c r="G21" i="7"/>
  <c r="G22" i="7"/>
  <c r="G20" i="7"/>
  <c r="G19" i="7"/>
  <c r="F27" i="7"/>
  <c r="F29" i="7"/>
  <c r="G29" i="7"/>
  <c r="G28" i="7"/>
  <c r="G27" i="7"/>
  <c r="F45" i="7"/>
  <c r="F49" i="7"/>
  <c r="G47" i="7"/>
  <c r="G48" i="7"/>
  <c r="F47" i="7"/>
  <c r="F48" i="7"/>
  <c r="G46" i="7"/>
  <c r="F46" i="7"/>
  <c r="E46" i="7" l="1"/>
  <c r="F25" i="7"/>
  <c r="E25" i="7"/>
  <c r="E35" i="7"/>
  <c r="F35" i="7"/>
  <c r="F53" i="7"/>
  <c r="F26" i="7"/>
  <c r="F42" i="7"/>
  <c r="F40" i="7"/>
  <c r="F39" i="7"/>
  <c r="F19" i="7"/>
  <c r="F65" i="7" l="1"/>
  <c r="F30" i="7"/>
  <c r="F23" i="7"/>
  <c r="F22" i="7"/>
  <c r="F20" i="7"/>
  <c r="G8" i="7"/>
  <c r="F8" i="7"/>
  <c r="E67" i="7"/>
  <c r="E66" i="7" s="1"/>
  <c r="E73" i="7"/>
  <c r="E74" i="7"/>
  <c r="E77" i="7"/>
  <c r="E75" i="7"/>
  <c r="E68" i="7"/>
  <c r="E76" i="7"/>
  <c r="E71" i="7" s="1"/>
  <c r="E78" i="7"/>
  <c r="G70" i="7"/>
  <c r="G69" i="7"/>
  <c r="G68" i="7"/>
  <c r="F69" i="7"/>
  <c r="F70" i="7"/>
  <c r="F68" i="7"/>
  <c r="G67" i="7"/>
  <c r="G66" i="7"/>
  <c r="E56" i="7"/>
  <c r="E45" i="7"/>
  <c r="E26" i="7"/>
  <c r="E19" i="7"/>
  <c r="E15" i="7"/>
  <c r="E8" i="7"/>
  <c r="E27" i="7"/>
  <c r="E22" i="7"/>
  <c r="E21" i="7"/>
  <c r="E20" i="7"/>
  <c r="E61" i="7"/>
  <c r="E80" i="7"/>
  <c r="E65" i="7" l="1"/>
  <c r="G65" i="7"/>
  <c r="E23" i="7"/>
  <c r="F84" i="7"/>
  <c r="G84" i="7"/>
  <c r="E84" i="7"/>
  <c r="F83" i="7"/>
  <c r="G83" i="7"/>
  <c r="F82" i="7"/>
  <c r="G82" i="7"/>
  <c r="F81" i="7"/>
  <c r="G81" i="7"/>
  <c r="E83" i="7"/>
  <c r="E82" i="7"/>
  <c r="E81" i="7"/>
  <c r="F80" i="7"/>
  <c r="G80" i="7"/>
  <c r="F71" i="7"/>
  <c r="G71" i="7"/>
  <c r="F76" i="7"/>
  <c r="G76" i="7"/>
  <c r="G79" i="7"/>
  <c r="G78" i="7"/>
  <c r="F79" i="7"/>
  <c r="F78" i="7"/>
  <c r="F77" i="7"/>
  <c r="G72" i="7"/>
  <c r="G74" i="7"/>
  <c r="G75" i="7"/>
  <c r="F75" i="7"/>
  <c r="F74" i="7"/>
  <c r="F73" i="7" s="1"/>
  <c r="F72" i="7" s="1"/>
  <c r="E70" i="7"/>
  <c r="E38" i="7"/>
  <c r="G77" i="7" l="1"/>
  <c r="F67" i="7"/>
  <c r="F66" i="7"/>
  <c r="E69" i="7"/>
  <c r="F61" i="7"/>
  <c r="G61" i="7"/>
  <c r="F62" i="7"/>
  <c r="G62" i="7"/>
  <c r="E62" i="7"/>
  <c r="G64" i="7"/>
  <c r="G63" i="7"/>
  <c r="F64" i="7"/>
  <c r="F63" i="7"/>
  <c r="E64" i="7"/>
  <c r="E63" i="7"/>
  <c r="E57" i="7"/>
  <c r="F59" i="7"/>
  <c r="F60" i="7"/>
  <c r="G60" i="7"/>
  <c r="E60" i="7"/>
  <c r="E59" i="7"/>
  <c r="E58" i="7" s="1"/>
  <c r="E54" i="7"/>
  <c r="F54" i="7"/>
  <c r="E53" i="7"/>
  <c r="F52" i="7"/>
  <c r="E52" i="7"/>
  <c r="F51" i="7"/>
  <c r="G51" i="7"/>
  <c r="F50" i="7"/>
  <c r="G50" i="7"/>
  <c r="G49" i="7"/>
  <c r="E50" i="7"/>
  <c r="E51" i="7"/>
  <c r="E49" i="7"/>
  <c r="E47" i="7"/>
  <c r="E48" i="7"/>
  <c r="F44" i="7"/>
  <c r="F43" i="7"/>
  <c r="E44" i="7"/>
  <c r="E43" i="7"/>
  <c r="E42" i="7"/>
  <c r="E40" i="7"/>
  <c r="E41" i="7"/>
  <c r="E39" i="7"/>
  <c r="G41" i="7"/>
  <c r="F41" i="7"/>
  <c r="G39" i="7"/>
  <c r="G38" i="7"/>
  <c r="G37" i="7"/>
  <c r="E36" i="7"/>
  <c r="F31" i="7"/>
  <c r="G31" i="7"/>
  <c r="E31" i="7"/>
  <c r="F32" i="7"/>
  <c r="G32" i="7"/>
  <c r="F34" i="7"/>
  <c r="G34" i="7"/>
  <c r="E34" i="7"/>
  <c r="F33" i="7"/>
  <c r="G33" i="7"/>
  <c r="E33" i="7"/>
  <c r="E32" i="7" s="1"/>
  <c r="G30" i="7"/>
  <c r="E30" i="7"/>
  <c r="F28" i="7"/>
  <c r="E29" i="7"/>
  <c r="E28" i="7"/>
  <c r="G25" i="7"/>
  <c r="G23" i="7"/>
  <c r="F21" i="7"/>
  <c r="G16" i="7"/>
  <c r="G17" i="7"/>
  <c r="G18" i="7"/>
  <c r="F16" i="7"/>
  <c r="F17" i="7"/>
  <c r="F18" i="7"/>
  <c r="F15" i="7"/>
  <c r="G15" i="7"/>
  <c r="E16" i="7"/>
  <c r="E17" i="7"/>
  <c r="E18" i="7"/>
  <c r="G9" i="7"/>
  <c r="G10" i="7"/>
  <c r="G11" i="7"/>
  <c r="F9" i="7"/>
  <c r="F10" i="7"/>
  <c r="F11" i="7"/>
  <c r="E14" i="7"/>
  <c r="E9" i="7"/>
  <c r="E10" i="7"/>
  <c r="E11" i="7"/>
  <c r="D10" i="5"/>
  <c r="C10" i="5"/>
  <c r="B10" i="5"/>
  <c r="D11" i="5"/>
  <c r="C11" i="5"/>
  <c r="B11" i="5"/>
  <c r="B12" i="5" s="1"/>
  <c r="D13" i="5"/>
  <c r="C13" i="5"/>
  <c r="B13" i="5"/>
  <c r="F49" i="3" l="1"/>
  <c r="G48" i="3"/>
  <c r="G47" i="3"/>
  <c r="F48" i="3"/>
  <c r="F47" i="3"/>
  <c r="G46" i="3"/>
  <c r="F46" i="3"/>
  <c r="G30" i="3"/>
  <c r="G35" i="3"/>
  <c r="G34" i="3"/>
  <c r="G33" i="3"/>
  <c r="G32" i="3"/>
  <c r="G31" i="3"/>
  <c r="G27" i="3"/>
  <c r="G26" i="3"/>
  <c r="G25" i="3"/>
  <c r="G24" i="3" s="1"/>
  <c r="G43" i="3"/>
  <c r="F43" i="3"/>
  <c r="G42" i="3"/>
  <c r="F42" i="3"/>
  <c r="G41" i="3"/>
  <c r="F41" i="3"/>
  <c r="G40" i="3"/>
  <c r="F40" i="3"/>
  <c r="F39" i="3" s="1"/>
  <c r="G37" i="3"/>
  <c r="E36" i="3"/>
  <c r="F37" i="3"/>
  <c r="F38" i="3"/>
  <c r="F36" i="3"/>
  <c r="F35" i="3"/>
  <c r="F34" i="3"/>
  <c r="F33" i="3"/>
  <c r="F32" i="3"/>
  <c r="F31" i="3"/>
  <c r="F30" i="3"/>
  <c r="F24" i="3"/>
  <c r="F29" i="3"/>
  <c r="F28" i="3"/>
  <c r="F27" i="3"/>
  <c r="F26" i="3"/>
  <c r="F25" i="3"/>
  <c r="G10" i="3"/>
  <c r="G18" i="3"/>
  <c r="G17" i="3"/>
  <c r="G16" i="3"/>
  <c r="G15" i="3"/>
  <c r="G12" i="3"/>
  <c r="G11" i="3"/>
  <c r="F10" i="3"/>
  <c r="F18" i="3"/>
  <c r="F17" i="3"/>
  <c r="F16" i="3"/>
  <c r="F15" i="3"/>
  <c r="F12" i="3"/>
  <c r="E29" i="3"/>
  <c r="E23" i="3"/>
  <c r="E44" i="3"/>
  <c r="E45" i="3"/>
  <c r="E50" i="3"/>
  <c r="E49" i="3"/>
  <c r="E48" i="3"/>
  <c r="E47" i="3"/>
  <c r="E46" i="3"/>
  <c r="E10" i="3"/>
  <c r="E24" i="3"/>
  <c r="E26" i="3"/>
  <c r="E37" i="3"/>
  <c r="E39" i="3"/>
  <c r="E43" i="3"/>
  <c r="E42" i="3"/>
  <c r="E41" i="3"/>
  <c r="E40" i="3"/>
  <c r="E38" i="3"/>
  <c r="E35" i="3"/>
  <c r="E34" i="3"/>
  <c r="E33" i="3"/>
  <c r="E32" i="3"/>
  <c r="E31" i="3"/>
  <c r="E30" i="3"/>
  <c r="E28" i="3"/>
  <c r="E27" i="3"/>
  <c r="E25" i="3"/>
  <c r="G14" i="3"/>
  <c r="F14" i="3"/>
  <c r="F13" i="3"/>
  <c r="G13" i="3"/>
  <c r="E18" i="3"/>
  <c r="E17" i="3"/>
  <c r="E16" i="3"/>
  <c r="E15" i="3"/>
  <c r="E14" i="3"/>
  <c r="E13" i="3"/>
  <c r="G45" i="3" l="1"/>
  <c r="G29" i="3"/>
  <c r="G58" i="7" l="1"/>
  <c r="G73" i="7"/>
  <c r="G56" i="7" l="1"/>
  <c r="G57" i="7"/>
  <c r="G36" i="7"/>
  <c r="F58" i="7"/>
  <c r="F56" i="7" s="1"/>
  <c r="F36" i="7"/>
  <c r="H14" i="1" l="1"/>
  <c r="G14" i="1"/>
  <c r="F14" i="1"/>
  <c r="C32" i="2"/>
  <c r="E31" i="2"/>
  <c r="D31" i="2"/>
  <c r="D32" i="2"/>
  <c r="G35" i="7" l="1"/>
  <c r="C12" i="5"/>
  <c r="D12" i="5"/>
  <c r="G44" i="3"/>
  <c r="F45" i="3"/>
  <c r="F44" i="3" s="1"/>
  <c r="G39" i="3"/>
  <c r="G23" i="3" s="1"/>
  <c r="G50" i="3" s="1"/>
  <c r="F23" i="3" l="1"/>
  <c r="F50" i="3" s="1"/>
</calcChain>
</file>

<file path=xl/sharedStrings.xml><?xml version="1.0" encoding="utf-8"?>
<sst xmlns="http://schemas.openxmlformats.org/spreadsheetml/2006/main" count="244" uniqueCount="123">
  <si>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</si>
  <si>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</si>
  <si>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</si>
  <si>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</si>
  <si>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</si>
  <si>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</si>
  <si>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</si>
  <si>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</si>
  <si>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</si>
  <si>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</si>
  <si>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</si>
  <si>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</si>
  <si>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</si>
  <si>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</si>
  <si>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</si>
  <si>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</si>
  <si>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</si>
  <si>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</si>
  <si>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</si>
  <si>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</si>
  <si>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</si>
  <si>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</si>
  <si>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</si>
  <si>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</si>
  <si>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</si>
  <si>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</si>
  <si>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</si>
  <si>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</si>
  <si>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</si>
  <si>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</si>
  <si>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</si>
  <si>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</si>
  <si>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</si>
  <si>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</si>
  <si>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</si>
  <si>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</si>
  <si>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</si>
  <si>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</si>
  <si>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</si>
  <si>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</si>
  <si>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</si>
  <si>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</si>
  <si>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</si>
  <si>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</si>
  <si>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</si>
  <si>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</si>
  <si>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</si>
  <si>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</si>
  <si>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</si>
  <si>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</si>
  <si>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</si>
  <si>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</si>
  <si>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</si>
  <si>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</si>
  <si>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Izvanstandardni programi u školama</t>
  </si>
  <si>
    <t>Produženi boravak</t>
  </si>
  <si>
    <t>Financiranje nabave drugih obrazovnih materijala</t>
  </si>
  <si>
    <t>Naknade građanima i kućanstvima na temelju osiguranja i druge naknade</t>
  </si>
  <si>
    <t xml:space="preserve"> A 1013-06</t>
  </si>
  <si>
    <t>A 1013-07</t>
  </si>
  <si>
    <t>Osnovnoškolsko obrazovanje</t>
  </si>
  <si>
    <t xml:space="preserve"> A 1012-01</t>
  </si>
  <si>
    <t>A 1012-02</t>
  </si>
  <si>
    <t xml:space="preserve">Financijski rashodi </t>
  </si>
  <si>
    <t xml:space="preserve">Opći prihodi i primici </t>
  </si>
  <si>
    <t>09 Obrazovanje</t>
  </si>
  <si>
    <t>0912 Osnovno obrazovanje</t>
  </si>
  <si>
    <t>096 Dodatne usluge u obrazovanju</t>
  </si>
  <si>
    <t>FINANCIJSKI PLAN OSNOVNE ŠKOLE ZADARSKI OTOCI - ZADAR
ZA 2023. I PROJEKCIJA ZA 2024. I 2025. GODINU</t>
  </si>
  <si>
    <t xml:space="preserve">FINANCIJSKI PLAN OSNOVNE ŠKOLE ZADARSKI OTOCI - ZADAR
ZA 2023. I PROJEKCIJA ZA 2024. I 2025. GODINU
</t>
  </si>
  <si>
    <t>A 1013-13</t>
  </si>
  <si>
    <t>Prehrana učenika u osnovnim školama</t>
  </si>
  <si>
    <t>A 1013-14</t>
  </si>
  <si>
    <t>Škola puna mogućnosti 5</t>
  </si>
  <si>
    <t xml:space="preserve">A 1013-17 </t>
  </si>
  <si>
    <t>Program predškole</t>
  </si>
  <si>
    <t>Pomoći</t>
  </si>
  <si>
    <t xml:space="preserve">Pomoći </t>
  </si>
  <si>
    <t>PROGRAM 1012</t>
  </si>
  <si>
    <t xml:space="preserve">Vlastiti prihodi </t>
  </si>
  <si>
    <t>Donacije</t>
  </si>
  <si>
    <t>Prihodi za posobne namjene</t>
  </si>
  <si>
    <t>Prihod od financijske imovine</t>
  </si>
  <si>
    <t>Ostali nespomenuti prihodi</t>
  </si>
  <si>
    <t>Prihodi za posebne namjene</t>
  </si>
  <si>
    <t>Višak vlastiti prihod</t>
  </si>
  <si>
    <t xml:space="preserve">Naknade građanima i kućanstvima </t>
  </si>
  <si>
    <t>Višak vlastitih prihoda</t>
  </si>
  <si>
    <t xml:space="preserve">Donacije </t>
  </si>
  <si>
    <t>UKUPNI PRIHODI</t>
  </si>
  <si>
    <t>PREGLED UKUPNIH PRIHODA I RASHODA</t>
  </si>
  <si>
    <t>PO IZVORIMA FINANCIRANJA</t>
  </si>
  <si>
    <t>Oznaka IF</t>
  </si>
  <si>
    <t>Naziv izvora financiranja</t>
  </si>
  <si>
    <t>OPĆI PRIHODI I PRIMICI</t>
  </si>
  <si>
    <t>PRIHODI</t>
  </si>
  <si>
    <t>RASHODI</t>
  </si>
  <si>
    <t>VLASTITI PRIHODI</t>
  </si>
  <si>
    <t>VIŠAK PRIHODA KORIŠTEN ZA POKRIĆE RASHODA</t>
  </si>
  <si>
    <t>PRIHODI ZA POSEBNE NAMJENE</t>
  </si>
  <si>
    <t>POMOĆI</t>
  </si>
  <si>
    <t>DONACIJE</t>
  </si>
  <si>
    <t>KORIŠTENI VIŠAK ZA POKRIĆE RASHODA TEKUĆE GODINE</t>
  </si>
  <si>
    <t>2023.</t>
  </si>
  <si>
    <t>2024.</t>
  </si>
  <si>
    <t>2025.</t>
  </si>
  <si>
    <t xml:space="preserve">Rashodi za zaposlene </t>
  </si>
  <si>
    <t>Materijalni rashodi škola STANDARD</t>
  </si>
  <si>
    <t>Financijski rashodi škola  STANDARD</t>
  </si>
  <si>
    <t>Opremanje škola STANDARD</t>
  </si>
  <si>
    <t>A 1012-10</t>
  </si>
  <si>
    <t>A1012-12</t>
  </si>
  <si>
    <t xml:space="preserve">Opremanje škola-vlastiti i namjenski prihodi </t>
  </si>
  <si>
    <t>Materijalni rashodi-vlastiti i namjenski prihodi</t>
  </si>
  <si>
    <t>Rashodi za zaposlene-vlastiti i namjenski prihodi škola</t>
  </si>
  <si>
    <t xml:space="preserve">A 1012 -09 </t>
  </si>
  <si>
    <t>PROGRAM 1013</t>
  </si>
  <si>
    <t xml:space="preserve">Materijalni rashodi </t>
  </si>
  <si>
    <t xml:space="preserve">Višak vlastitih prihoda </t>
  </si>
  <si>
    <t>Kapitalni projekt 1012-03</t>
  </si>
  <si>
    <t>Sredstva iz EU</t>
  </si>
  <si>
    <t xml:space="preserve">UKUPNO </t>
  </si>
  <si>
    <t>OSNOVNOŠKOLSTVO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</si>
</sst>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0"/>
      <name val="Arial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4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0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</borders>
  <cellStyleXfs count="4">
    <xf numFmtId="0" fontId="0" fillId="0" borderId="0"/>
    <xf numFmtId="0" fontId="20" fillId="0" borderId="0"/>
    <xf numFmtId="0" fontId="9" fillId="0" borderId="0"/>
    <xf numFmtId="0" fontId="3" fillId="0" borderId="0"/>
  </cellStyleXfs>
  <cellXfs count="236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19" fillId="2" borderId="3" xfId="0" applyNumberFormat="1" applyFont="1" applyFill="1" applyBorder="1" applyAlignment="1" applyProtection="1">
      <alignment horizontal="left" vertical="center" wrapText="1"/>
    </xf>
    <xf numFmtId="0" fontId="19" fillId="2" borderId="6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19" fillId="2" borderId="8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7" xfId="0" applyNumberFormat="1" applyFont="1" applyFill="1" applyBorder="1" applyAlignment="1" applyProtection="1">
      <alignment horizontal="left" vertical="center" wrapText="1"/>
    </xf>
    <xf numFmtId="0" fontId="6" fillId="2" borderId="5" xfId="0" applyNumberFormat="1" applyFont="1" applyFill="1" applyBorder="1" applyAlignment="1" applyProtection="1">
      <alignment horizontal="left" vertical="center" wrapText="1"/>
    </xf>
    <xf numFmtId="0" fontId="6" fillId="2" borderId="8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19" fillId="2" borderId="1" xfId="0" applyNumberFormat="1" applyFont="1" applyFill="1" applyBorder="1" applyAlignment="1" applyProtection="1">
      <alignment horizontal="right" vertical="center" wrapText="1"/>
    </xf>
    <xf numFmtId="0" fontId="3" fillId="2" borderId="5" xfId="0" applyNumberFormat="1" applyFont="1" applyFill="1" applyBorder="1" applyAlignment="1" applyProtection="1">
      <alignment horizontal="left" vertical="center" wrapText="1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10" fillId="2" borderId="0" xfId="0" quotePrefix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wrapText="1"/>
    </xf>
    <xf numFmtId="0" fontId="9" fillId="2" borderId="3" xfId="0" quotePrefix="1" applyNumberFormat="1" applyFont="1" applyFill="1" applyBorder="1" applyAlignment="1" applyProtection="1">
      <alignment vertical="center" wrapText="1"/>
    </xf>
    <xf numFmtId="3" fontId="21" fillId="0" borderId="0" xfId="1" applyNumberFormat="1" applyFont="1"/>
    <xf numFmtId="0" fontId="21" fillId="0" borderId="0" xfId="1" applyFont="1" applyAlignment="1">
      <alignment horizontal="center" wrapText="1"/>
    </xf>
    <xf numFmtId="3" fontId="26" fillId="0" borderId="0" xfId="1" quotePrefix="1" applyNumberFormat="1" applyFont="1" applyAlignment="1">
      <alignment horizontal="left"/>
    </xf>
    <xf numFmtId="0" fontId="26" fillId="0" borderId="5" xfId="1" applyNumberFormat="1" applyFont="1" applyBorder="1" applyAlignment="1">
      <alignment horizontal="center"/>
    </xf>
    <xf numFmtId="0" fontId="26" fillId="0" borderId="0" xfId="1" applyNumberFormat="1" applyFont="1" applyBorder="1" applyAlignment="1">
      <alignment horizontal="center" vertical="center" wrapText="1"/>
    </xf>
    <xf numFmtId="0" fontId="26" fillId="0" borderId="0" xfId="1" applyNumberFormat="1" applyFont="1" applyAlignment="1">
      <alignment horizontal="center" vertical="center"/>
    </xf>
    <xf numFmtId="0" fontId="21" fillId="0" borderId="9" xfId="1" applyNumberFormat="1" applyFont="1" applyBorder="1" applyAlignment="1">
      <alignment horizontal="center" vertical="center"/>
    </xf>
    <xf numFmtId="0" fontId="21" fillId="0" borderId="9" xfId="1" applyNumberFormat="1" applyFont="1" applyBorder="1" applyAlignment="1">
      <alignment vertical="center"/>
    </xf>
    <xf numFmtId="0" fontId="21" fillId="0" borderId="9" xfId="1" applyNumberFormat="1" applyFont="1" applyBorder="1" applyAlignment="1">
      <alignment horizontal="left" vertical="center"/>
    </xf>
    <xf numFmtId="0" fontId="21" fillId="0" borderId="9" xfId="1" quotePrefix="1" applyNumberFormat="1" applyFont="1" applyBorder="1" applyAlignment="1">
      <alignment horizontal="left" vertical="center"/>
    </xf>
    <xf numFmtId="0" fontId="26" fillId="0" borderId="9" xfId="1" applyNumberFormat="1" applyFont="1" applyBorder="1" applyAlignment="1">
      <alignment horizontal="center" vertical="center"/>
    </xf>
    <xf numFmtId="0" fontId="28" fillId="0" borderId="9" xfId="1" applyNumberFormat="1" applyFont="1" applyBorder="1" applyAlignment="1">
      <alignment horizontal="center" vertical="center"/>
    </xf>
    <xf numFmtId="0" fontId="28" fillId="0" borderId="9" xfId="1" applyNumberFormat="1" applyFont="1" applyBorder="1" applyAlignment="1">
      <alignment horizontal="left" vertical="center"/>
    </xf>
    <xf numFmtId="0" fontId="26" fillId="0" borderId="9" xfId="1" applyNumberFormat="1" applyFont="1" applyBorder="1" applyAlignment="1">
      <alignment vertical="center"/>
    </xf>
    <xf numFmtId="0" fontId="27" fillId="0" borderId="9" xfId="1" applyNumberFormat="1" applyFont="1" applyBorder="1" applyAlignment="1">
      <alignment horizontal="center" vertical="center"/>
    </xf>
    <xf numFmtId="0" fontId="27" fillId="0" borderId="9" xfId="1" applyNumberFormat="1" applyFont="1" applyBorder="1" applyAlignment="1">
      <alignment vertical="center"/>
    </xf>
    <xf numFmtId="3" fontId="0" fillId="0" borderId="0" xfId="0" applyNumberFormat="1"/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5" xfId="0" applyNumberFormat="1" applyFont="1" applyFill="1" applyBorder="1" applyAlignment="1" applyProtection="1">
      <alignment horizontal="left" vertical="center" wrapText="1"/>
    </xf>
    <xf numFmtId="0" fontId="6" fillId="2" borderId="8" xfId="0" applyNumberFormat="1" applyFont="1" applyFill="1" applyBorder="1" applyAlignment="1" applyProtection="1">
      <alignment horizontal="left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vertical="center" wrapText="1"/>
    </xf>
    <xf numFmtId="0" fontId="6" fillId="2" borderId="2" xfId="0" applyNumberFormat="1" applyFont="1" applyFill="1" applyBorder="1" applyAlignment="1" applyProtection="1">
      <alignment vertical="center" wrapText="1"/>
    </xf>
    <xf numFmtId="0" fontId="6" fillId="2" borderId="4" xfId="0" applyNumberFormat="1" applyFont="1" applyFill="1" applyBorder="1" applyAlignment="1" applyProtection="1">
      <alignment vertical="center" wrapText="1"/>
    </xf>
    <xf numFmtId="0" fontId="3" fillId="2" borderId="1" xfId="0" applyNumberFormat="1" applyFont="1" applyFill="1" applyBorder="1" applyAlignment="1" applyProtection="1">
      <alignment vertical="center" wrapText="1"/>
    </xf>
    <xf numFmtId="0" fontId="3" fillId="2" borderId="1" xfId="0" applyNumberFormat="1" applyFont="1" applyFill="1" applyBorder="1" applyAlignment="1" applyProtection="1">
      <alignment horizontal="right" vertical="center" wrapText="1"/>
    </xf>
    <xf numFmtId="0" fontId="19" fillId="2" borderId="2" xfId="0" applyNumberFormat="1" applyFont="1" applyFill="1" applyBorder="1" applyAlignment="1" applyProtection="1">
      <alignment horizontal="right" vertical="center" wrapText="1"/>
    </xf>
    <xf numFmtId="0" fontId="30" fillId="2" borderId="1" xfId="0" applyNumberFormat="1" applyFont="1" applyFill="1" applyBorder="1" applyAlignment="1" applyProtection="1">
      <alignment horizontal="left" vertical="center" wrapText="1"/>
    </xf>
    <xf numFmtId="0" fontId="30" fillId="2" borderId="7" xfId="0" applyNumberFormat="1" applyFont="1" applyFill="1" applyBorder="1" applyAlignment="1" applyProtection="1">
      <alignment horizontal="left" vertical="center" wrapText="1"/>
    </xf>
    <xf numFmtId="0" fontId="19" fillId="2" borderId="1" xfId="0" applyNumberFormat="1" applyFont="1" applyFill="1" applyBorder="1" applyAlignment="1" applyProtection="1">
      <alignment vertical="center" wrapText="1"/>
    </xf>
    <xf numFmtId="0" fontId="19" fillId="2" borderId="2" xfId="0" applyNumberFormat="1" applyFont="1" applyFill="1" applyBorder="1" applyAlignment="1" applyProtection="1">
      <alignment vertical="center" wrapText="1"/>
    </xf>
    <xf numFmtId="0" fontId="19" fillId="2" borderId="4" xfId="0" applyNumberFormat="1" applyFont="1" applyFill="1" applyBorder="1" applyAlignment="1" applyProtection="1">
      <alignment vertical="center" wrapText="1"/>
    </xf>
    <xf numFmtId="0" fontId="3" fillId="2" borderId="7" xfId="0" applyNumberFormat="1" applyFont="1" applyFill="1" applyBorder="1" applyAlignment="1" applyProtection="1">
      <alignment horizontal="right" vertical="center" wrapText="1"/>
    </xf>
    <xf numFmtId="0" fontId="6" fillId="2" borderId="7" xfId="0" applyNumberFormat="1" applyFont="1" applyFill="1" applyBorder="1" applyAlignment="1" applyProtection="1">
      <alignment horizontal="center" vertical="center" wrapText="1"/>
    </xf>
    <xf numFmtId="0" fontId="30" fillId="2" borderId="2" xfId="0" applyNumberFormat="1" applyFont="1" applyFill="1" applyBorder="1" applyAlignment="1" applyProtection="1">
      <alignment horizontal="left" vertical="center" wrapText="1"/>
    </xf>
    <xf numFmtId="0" fontId="30" fillId="2" borderId="4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7" xfId="0" applyNumberFormat="1" applyFont="1" applyFill="1" applyBorder="1" applyAlignment="1" applyProtection="1">
      <alignment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6" fillId="5" borderId="8" xfId="0" applyNumberFormat="1" applyFont="1" applyFill="1" applyBorder="1" applyAlignment="1" applyProtection="1">
      <alignment horizontal="left" vertical="center" wrapText="1"/>
    </xf>
    <xf numFmtId="0" fontId="6" fillId="5" borderId="6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19" fillId="2" borderId="8" xfId="0" quotePrefix="1" applyNumberFormat="1" applyFont="1" applyFill="1" applyBorder="1" applyAlignment="1" applyProtection="1">
      <alignment horizontal="left" vertical="center" wrapText="1"/>
    </xf>
    <xf numFmtId="0" fontId="11" fillId="5" borderId="3" xfId="0" applyNumberFormat="1" applyFont="1" applyFill="1" applyBorder="1" applyAlignment="1" applyProtection="1">
      <alignment horizontal="left" vertical="center" wrapText="1"/>
    </xf>
    <xf numFmtId="0" fontId="11" fillId="5" borderId="3" xfId="0" applyFont="1" applyFill="1" applyBorder="1" applyAlignment="1">
      <alignment horizontal="left" vertical="center"/>
    </xf>
    <xf numFmtId="0" fontId="11" fillId="5" borderId="3" xfId="0" applyNumberFormat="1" applyFont="1" applyFill="1" applyBorder="1" applyAlignment="1" applyProtection="1">
      <alignment horizontal="left" vertical="center"/>
    </xf>
    <xf numFmtId="0" fontId="11" fillId="5" borderId="3" xfId="0" applyNumberFormat="1" applyFont="1" applyFill="1" applyBorder="1" applyAlignment="1" applyProtection="1">
      <alignment vertical="center" wrapText="1"/>
    </xf>
    <xf numFmtId="0" fontId="30" fillId="6" borderId="1" xfId="0" applyNumberFormat="1" applyFont="1" applyFill="1" applyBorder="1" applyAlignment="1" applyProtection="1">
      <alignment horizontal="left" vertical="center" wrapText="1"/>
    </xf>
    <xf numFmtId="0" fontId="19" fillId="6" borderId="2" xfId="0" applyNumberFormat="1" applyFont="1" applyFill="1" applyBorder="1" applyAlignment="1" applyProtection="1">
      <alignment horizontal="right" vertical="center" wrapText="1"/>
    </xf>
    <xf numFmtId="0" fontId="19" fillId="6" borderId="4" xfId="0" applyNumberFormat="1" applyFont="1" applyFill="1" applyBorder="1" applyAlignment="1" applyProtection="1">
      <alignment horizontal="left" vertical="center" wrapText="1"/>
    </xf>
    <xf numFmtId="0" fontId="19" fillId="6" borderId="8" xfId="0" applyNumberFormat="1" applyFont="1" applyFill="1" applyBorder="1" applyAlignment="1" applyProtection="1">
      <alignment horizontal="left" vertical="center" wrapText="1"/>
    </xf>
    <xf numFmtId="0" fontId="30" fillId="6" borderId="7" xfId="0" applyNumberFormat="1" applyFont="1" applyFill="1" applyBorder="1" applyAlignment="1" applyProtection="1">
      <alignment horizontal="left" vertical="center" wrapText="1"/>
    </xf>
    <xf numFmtId="0" fontId="3" fillId="6" borderId="2" xfId="0" applyNumberFormat="1" applyFont="1" applyFill="1" applyBorder="1" applyAlignment="1" applyProtection="1">
      <alignment vertical="center" wrapText="1"/>
    </xf>
    <xf numFmtId="0" fontId="3" fillId="6" borderId="4" xfId="0" applyNumberFormat="1" applyFont="1" applyFill="1" applyBorder="1" applyAlignment="1" applyProtection="1">
      <alignment vertical="center" wrapText="1"/>
    </xf>
    <xf numFmtId="0" fontId="26" fillId="4" borderId="3" xfId="1" applyNumberFormat="1" applyFont="1" applyFill="1" applyBorder="1" applyAlignment="1">
      <alignment horizontal="center" vertical="center" wrapText="1"/>
    </xf>
    <xf numFmtId="0" fontId="21" fillId="4" borderId="9" xfId="1" applyNumberFormat="1" applyFont="1" applyFill="1" applyBorder="1" applyAlignment="1">
      <alignment horizontal="center" vertical="center"/>
    </xf>
    <xf numFmtId="0" fontId="29" fillId="4" borderId="9" xfId="1" applyNumberFormat="1" applyFont="1" applyFill="1" applyBorder="1" applyAlignment="1">
      <alignment horizontal="center" vertical="center"/>
    </xf>
    <xf numFmtId="0" fontId="28" fillId="4" borderId="9" xfId="1" applyNumberFormat="1" applyFont="1" applyFill="1" applyBorder="1" applyAlignment="1">
      <alignment horizontal="center" vertical="center"/>
    </xf>
    <xf numFmtId="0" fontId="0" fillId="0" borderId="0" xfId="0" applyBorder="1"/>
    <xf numFmtId="4" fontId="3" fillId="5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9" fillId="5" borderId="3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9" fillId="0" borderId="0" xfId="0" applyNumberFormat="1" applyFont="1"/>
    <xf numFmtId="4" fontId="9" fillId="2" borderId="3" xfId="0" applyNumberFormat="1" applyFont="1" applyFill="1" applyBorder="1" applyAlignment="1" applyProtection="1">
      <alignment horizontal="right" wrapText="1"/>
    </xf>
    <xf numFmtId="4" fontId="3" fillId="7" borderId="3" xfId="0" applyNumberFormat="1" applyFont="1" applyFill="1" applyBorder="1" applyAlignment="1">
      <alignment horizontal="right"/>
    </xf>
    <xf numFmtId="4" fontId="9" fillId="7" borderId="3" xfId="0" applyNumberFormat="1" applyFont="1" applyFill="1" applyBorder="1" applyAlignment="1">
      <alignment horizontal="right"/>
    </xf>
    <xf numFmtId="4" fontId="9" fillId="7" borderId="3" xfId="0" applyNumberFormat="1" applyFont="1" applyFill="1" applyBorder="1" applyAlignment="1" applyProtection="1">
      <alignment horizontal="right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4" fontId="6" fillId="7" borderId="3" xfId="0" applyNumberFormat="1" applyFont="1" applyFill="1" applyBorder="1" applyAlignment="1">
      <alignment horizontal="right"/>
    </xf>
    <xf numFmtId="4" fontId="6" fillId="5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4" fontId="6" fillId="2" borderId="3" xfId="0" applyNumberFormat="1" applyFont="1" applyFill="1" applyBorder="1" applyAlignment="1" applyProtection="1">
      <alignment horizontal="right" wrapText="1"/>
    </xf>
    <xf numFmtId="4" fontId="6" fillId="6" borderId="3" xfId="0" applyNumberFormat="1" applyFont="1" applyFill="1" applyBorder="1" applyAlignment="1">
      <alignment horizontal="right"/>
    </xf>
    <xf numFmtId="4" fontId="6" fillId="6" borderId="3" xfId="0" applyNumberFormat="1" applyFont="1" applyFill="1" applyBorder="1" applyAlignment="1" applyProtection="1">
      <alignment horizontal="right" wrapText="1"/>
    </xf>
    <xf numFmtId="4" fontId="0" fillId="0" borderId="0" xfId="0" applyNumberFormat="1"/>
    <xf numFmtId="4" fontId="6" fillId="0" borderId="3" xfId="0" applyNumberFormat="1" applyFont="1" applyFill="1" applyBorder="1" applyAlignment="1">
      <alignment horizontal="right"/>
    </xf>
    <xf numFmtId="2" fontId="25" fillId="0" borderId="0" xfId="1" applyNumberFormat="1" applyFont="1" applyFill="1" applyAlignment="1">
      <alignment horizontal="center" wrapText="1"/>
    </xf>
    <xf numFmtId="2" fontId="21" fillId="0" borderId="0" xfId="1" applyNumberFormat="1" applyFont="1" applyAlignment="1">
      <alignment horizontal="center" wrapText="1"/>
    </xf>
    <xf numFmtId="2" fontId="25" fillId="0" borderId="0" xfId="1" applyNumberFormat="1" applyFont="1" applyFill="1" applyAlignment="1">
      <alignment wrapText="1"/>
    </xf>
    <xf numFmtId="2" fontId="21" fillId="0" borderId="0" xfId="1" applyNumberFormat="1" applyFont="1"/>
    <xf numFmtId="2" fontId="21" fillId="0" borderId="0" xfId="1" applyNumberFormat="1" applyFont="1" applyAlignment="1">
      <alignment wrapText="1"/>
    </xf>
    <xf numFmtId="2" fontId="27" fillId="0" borderId="5" xfId="1" applyNumberFormat="1" applyFont="1" applyFill="1" applyBorder="1" applyAlignment="1">
      <alignment horizontal="center" wrapText="1"/>
    </xf>
    <xf numFmtId="2" fontId="26" fillId="0" borderId="5" xfId="1" applyNumberFormat="1" applyFont="1" applyBorder="1" applyAlignment="1">
      <alignment horizontal="center"/>
    </xf>
    <xf numFmtId="2" fontId="26" fillId="0" borderId="5" xfId="1" applyNumberFormat="1" applyFont="1" applyBorder="1" applyAlignment="1">
      <alignment horizontal="center" wrapText="1"/>
    </xf>
    <xf numFmtId="2" fontId="27" fillId="4" borderId="3" xfId="1" applyNumberFormat="1" applyFont="1" applyFill="1" applyBorder="1" applyAlignment="1">
      <alignment horizontal="center" vertical="center" wrapText="1"/>
    </xf>
    <xf numFmtId="2" fontId="26" fillId="4" borderId="3" xfId="1" applyNumberFormat="1" applyFont="1" applyFill="1" applyBorder="1" applyAlignment="1">
      <alignment horizontal="center" vertical="center" wrapText="1"/>
    </xf>
    <xf numFmtId="2" fontId="26" fillId="0" borderId="0" xfId="1" applyNumberFormat="1" applyFont="1" applyFill="1" applyBorder="1" applyAlignment="1">
      <alignment horizontal="center" vertical="center" wrapText="1"/>
    </xf>
    <xf numFmtId="2" fontId="26" fillId="0" borderId="0" xfId="1" applyNumberFormat="1" applyFont="1" applyAlignment="1">
      <alignment vertical="center"/>
    </xf>
    <xf numFmtId="2" fontId="21" fillId="0" borderId="0" xfId="1" applyNumberFormat="1" applyFont="1" applyAlignment="1">
      <alignment vertical="center"/>
    </xf>
    <xf numFmtId="2" fontId="26" fillId="0" borderId="0" xfId="1" applyNumberFormat="1" applyFont="1" applyFill="1" applyAlignment="1">
      <alignment vertical="center"/>
    </xf>
    <xf numFmtId="2" fontId="21" fillId="0" borderId="9" xfId="1" applyNumberFormat="1" applyFont="1" applyFill="1" applyBorder="1" applyAlignment="1">
      <alignment vertical="center"/>
    </xf>
    <xf numFmtId="2" fontId="21" fillId="0" borderId="9" xfId="1" applyNumberFormat="1" applyFont="1" applyBorder="1" applyAlignment="1">
      <alignment vertical="center"/>
    </xf>
    <xf numFmtId="2" fontId="26" fillId="0" borderId="9" xfId="1" applyNumberFormat="1" applyFont="1" applyFill="1" applyBorder="1" applyAlignment="1">
      <alignment vertical="center"/>
    </xf>
    <xf numFmtId="2" fontId="25" fillId="0" borderId="9" xfId="1" applyNumberFormat="1" applyFont="1" applyFill="1" applyBorder="1" applyAlignment="1">
      <alignment vertical="center"/>
    </xf>
    <xf numFmtId="2" fontId="27" fillId="4" borderId="9" xfId="1" applyNumberFormat="1" applyFont="1" applyFill="1" applyBorder="1" applyAlignment="1">
      <alignment vertical="center"/>
    </xf>
    <xf numFmtId="2" fontId="21" fillId="4" borderId="9" xfId="1" applyNumberFormat="1" applyFont="1" applyFill="1" applyBorder="1" applyAlignment="1">
      <alignment vertical="center"/>
    </xf>
    <xf numFmtId="2" fontId="21" fillId="4" borderId="0" xfId="1" applyNumberFormat="1" applyFont="1" applyFill="1" applyAlignment="1">
      <alignment vertical="center"/>
    </xf>
    <xf numFmtId="2" fontId="21" fillId="0" borderId="0" xfId="1" applyNumberFormat="1" applyFont="1" applyBorder="1" applyAlignment="1">
      <alignment vertical="center"/>
    </xf>
    <xf numFmtId="2" fontId="0" fillId="0" borderId="0" xfId="0" applyNumberFormat="1"/>
    <xf numFmtId="4" fontId="1" fillId="0" borderId="5" xfId="0" applyNumberFormat="1" applyFont="1" applyBorder="1" applyAlignment="1">
      <alignment horizontal="center" vertical="center"/>
    </xf>
    <xf numFmtId="4" fontId="18" fillId="0" borderId="5" xfId="0" applyNumberFormat="1" applyFont="1" applyBorder="1" applyAlignment="1">
      <alignment horizontal="right" vertical="center"/>
    </xf>
    <xf numFmtId="4" fontId="6" fillId="2" borderId="3" xfId="0" applyNumberFormat="1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3" fillId="0" borderId="0" xfId="0" applyNumberFormat="1" applyFont="1" applyFill="1" applyBorder="1" applyAlignment="1" applyProtection="1"/>
    <xf numFmtId="4" fontId="6" fillId="4" borderId="1" xfId="0" quotePrefix="1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 applyProtection="1">
      <alignment horizontal="right" wrapText="1"/>
    </xf>
    <xf numFmtId="4" fontId="6" fillId="3" borderId="1" xfId="0" quotePrefix="1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9" fillId="7" borderId="1" xfId="0" applyNumberFormat="1" applyFont="1" applyFill="1" applyBorder="1" applyAlignment="1" applyProtection="1">
      <alignment horizontal="center" vertical="center" wrapText="1"/>
    </xf>
    <xf numFmtId="0" fontId="9" fillId="7" borderId="2" xfId="0" applyNumberFormat="1" applyFont="1" applyFill="1" applyBorder="1" applyAlignment="1" applyProtection="1">
      <alignment horizontal="center" vertical="center" wrapText="1"/>
    </xf>
    <xf numFmtId="0" fontId="9" fillId="7" borderId="4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 wrapText="1"/>
    </xf>
    <xf numFmtId="0" fontId="30" fillId="2" borderId="1" xfId="0" applyNumberFormat="1" applyFont="1" applyFill="1" applyBorder="1" applyAlignment="1" applyProtection="1">
      <alignment horizontal="left" vertical="center" wrapText="1"/>
    </xf>
    <xf numFmtId="0" fontId="30" fillId="2" borderId="2" xfId="0" applyNumberFormat="1" applyFont="1" applyFill="1" applyBorder="1" applyAlignment="1" applyProtection="1">
      <alignment horizontal="left" vertical="center" wrapText="1"/>
    </xf>
    <xf numFmtId="0" fontId="30" fillId="2" borderId="4" xfId="0" applyNumberFormat="1" applyFont="1" applyFill="1" applyBorder="1" applyAlignment="1" applyProtection="1">
      <alignment horizontal="left" vertical="center" wrapText="1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6" fillId="5" borderId="7" xfId="0" applyNumberFormat="1" applyFont="1" applyFill="1" applyBorder="1" applyAlignment="1" applyProtection="1">
      <alignment horizontal="left" vertical="center" wrapText="1"/>
    </xf>
    <xf numFmtId="0" fontId="6" fillId="5" borderId="5" xfId="0" applyNumberFormat="1" applyFont="1" applyFill="1" applyBorder="1" applyAlignment="1" applyProtection="1">
      <alignment horizontal="left" vertical="center" wrapText="1"/>
    </xf>
    <xf numFmtId="0" fontId="6" fillId="5" borderId="8" xfId="0" applyNumberFormat="1" applyFont="1" applyFill="1" applyBorder="1" applyAlignment="1" applyProtection="1">
      <alignment horizontal="left" vertical="center" wrapText="1"/>
    </xf>
    <xf numFmtId="0" fontId="6" fillId="5" borderId="1" xfId="0" applyNumberFormat="1" applyFont="1" applyFill="1" applyBorder="1" applyAlignment="1" applyProtection="1">
      <alignment vertical="center" wrapText="1"/>
    </xf>
    <xf numFmtId="0" fontId="6" fillId="5" borderId="2" xfId="0" applyNumberFormat="1" applyFont="1" applyFill="1" applyBorder="1" applyAlignment="1" applyProtection="1">
      <alignment vertical="center" wrapText="1"/>
    </xf>
    <xf numFmtId="0" fontId="6" fillId="5" borderId="4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6" fillId="7" borderId="2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23" fillId="0" borderId="0" xfId="1" applyNumberFormat="1" applyFont="1" applyAlignment="1">
      <alignment horizontal="center" wrapText="1"/>
    </xf>
    <xf numFmtId="0" fontId="24" fillId="0" borderId="0" xfId="1" applyFont="1" applyAlignment="1">
      <alignment horizontal="center" wrapText="1"/>
    </xf>
    <xf numFmtId="0" fontId="22" fillId="0" borderId="0" xfId="1" applyFont="1" applyAlignment="1">
      <alignment horizontal="center" wrapText="1"/>
    </xf>
  </cellXfs>
  <cellStyles count="4">
    <cellStyle name="Normal 2" xfId="2"/>
    <cellStyle name="Normalno" xfId="0" builtinId="0"/>
    <cellStyle name="Normalno 2" xfId="1"/>
    <cellStyle name="Obično_List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opLeftCell="A4" workbookViewId="0">
      <selection activeCell="O14" sqref="O14"/>
    </sheetView>
  </sheetViews>
  <sheetFormatPr defaultRowHeight="15" x14ac:dyDescent="0.25"/>
  <cols>
    <col min="5" max="5" width="25.28515625" customWidth="1"/>
    <col min="6" max="8" width="25.28515625" style="147" customWidth="1"/>
  </cols>
  <sheetData>
    <row r="1" spans="1:8" ht="42" customHeight="1" x14ac:dyDescent="0.25">
      <c r="A1" s="186" t="s">
        <v>68</v>
      </c>
      <c r="B1" s="186"/>
      <c r="C1" s="186"/>
      <c r="D1" s="186"/>
      <c r="E1" s="186"/>
      <c r="F1" s="186"/>
      <c r="G1" s="186"/>
      <c r="H1" s="186"/>
    </row>
    <row r="2" spans="1:8" ht="18" customHeight="1" x14ac:dyDescent="0.25">
      <c r="A2" s="3"/>
      <c r="B2" s="3"/>
      <c r="C2" s="3"/>
      <c r="D2" s="3"/>
      <c r="E2" s="3"/>
      <c r="F2" s="137"/>
      <c r="G2" s="137"/>
      <c r="H2" s="137"/>
    </row>
    <row r="3" spans="1:8" ht="15.75" x14ac:dyDescent="0.25">
      <c r="A3" s="186" t="s">
        <v>31</v>
      </c>
      <c r="B3" s="186"/>
      <c r="C3" s="186"/>
      <c r="D3" s="186"/>
      <c r="E3" s="186"/>
      <c r="F3" s="186"/>
      <c r="G3" s="203"/>
      <c r="H3" s="203"/>
    </row>
    <row r="4" spans="1:8" ht="18" x14ac:dyDescent="0.25">
      <c r="A4" s="3"/>
      <c r="B4" s="3"/>
      <c r="C4" s="3"/>
      <c r="D4" s="3"/>
      <c r="E4" s="3"/>
      <c r="F4" s="137"/>
      <c r="G4" s="138"/>
      <c r="H4" s="138"/>
    </row>
    <row r="5" spans="1:8" ht="18" customHeight="1" x14ac:dyDescent="0.25">
      <c r="A5" s="186" t="s">
        <v>39</v>
      </c>
      <c r="B5" s="187"/>
      <c r="C5" s="187"/>
      <c r="D5" s="187"/>
      <c r="E5" s="187"/>
      <c r="F5" s="187"/>
      <c r="G5" s="187"/>
      <c r="H5" s="187"/>
    </row>
    <row r="6" spans="1:8" ht="18" x14ac:dyDescent="0.25">
      <c r="A6" s="1"/>
      <c r="B6" s="2"/>
      <c r="C6" s="2"/>
      <c r="D6" s="2"/>
      <c r="E6" s="5"/>
      <c r="F6" s="172"/>
      <c r="G6" s="172"/>
      <c r="H6" s="173" t="s">
        <v>42</v>
      </c>
    </row>
    <row r="7" spans="1:8" ht="25.5" x14ac:dyDescent="0.25">
      <c r="A7" s="25"/>
      <c r="B7" s="26"/>
      <c r="C7" s="26"/>
      <c r="D7" s="27"/>
      <c r="E7" s="28"/>
      <c r="F7" s="174" t="s">
        <v>45</v>
      </c>
      <c r="G7" s="174" t="s">
        <v>46</v>
      </c>
      <c r="H7" s="174" t="s">
        <v>47</v>
      </c>
    </row>
    <row r="8" spans="1:8" x14ac:dyDescent="0.25">
      <c r="A8" s="204" t="s">
        <v>0</v>
      </c>
      <c r="B8" s="200"/>
      <c r="C8" s="200"/>
      <c r="D8" s="200"/>
      <c r="E8" s="205"/>
      <c r="F8" s="175">
        <f>F9</f>
        <v>2150899.8606410511</v>
      </c>
      <c r="G8" s="175">
        <f>G9</f>
        <v>2243027.8054283629</v>
      </c>
      <c r="H8" s="175">
        <f>H9</f>
        <v>2330316.2784524518</v>
      </c>
    </row>
    <row r="9" spans="1:8" x14ac:dyDescent="0.25">
      <c r="A9" s="196" t="s">
        <v>1</v>
      </c>
      <c r="B9" s="189"/>
      <c r="C9" s="189"/>
      <c r="D9" s="189"/>
      <c r="E9" s="202"/>
      <c r="F9" s="148">
        <f>16205955/7.5345</f>
        <v>2150899.8606410511</v>
      </c>
      <c r="G9" s="148">
        <f>16900093/7.5345</f>
        <v>2243027.8054283629</v>
      </c>
      <c r="H9" s="148">
        <f>17557768/7.5345</f>
        <v>2330316.2784524518</v>
      </c>
    </row>
    <row r="10" spans="1:8" x14ac:dyDescent="0.25">
      <c r="A10" s="206" t="s">
        <v>2</v>
      </c>
      <c r="B10" s="202"/>
      <c r="C10" s="202"/>
      <c r="D10" s="202"/>
      <c r="E10" s="202"/>
      <c r="F10" s="148">
        <v>0</v>
      </c>
      <c r="G10" s="148">
        <v>0</v>
      </c>
      <c r="H10" s="148">
        <v>0</v>
      </c>
    </row>
    <row r="11" spans="1:8" x14ac:dyDescent="0.25">
      <c r="A11" s="29" t="s">
        <v>3</v>
      </c>
      <c r="B11" s="30"/>
      <c r="C11" s="30"/>
      <c r="D11" s="30"/>
      <c r="E11" s="30"/>
      <c r="F11" s="175">
        <v>0</v>
      </c>
      <c r="G11" s="175">
        <v>0</v>
      </c>
      <c r="H11" s="175">
        <v>0</v>
      </c>
    </row>
    <row r="12" spans="1:8" x14ac:dyDescent="0.25">
      <c r="A12" s="188" t="s">
        <v>4</v>
      </c>
      <c r="B12" s="189"/>
      <c r="C12" s="189"/>
      <c r="D12" s="189"/>
      <c r="E12" s="189"/>
      <c r="F12" s="148">
        <f>16006955/7.5345</f>
        <v>2124488.0217665406</v>
      </c>
      <c r="G12" s="148">
        <f>16695493/7.5345</f>
        <v>2215872.7188267303</v>
      </c>
      <c r="H12" s="176">
        <f>17349168/7.5345</f>
        <v>2302630.3006171607</v>
      </c>
    </row>
    <row r="13" spans="1:8" x14ac:dyDescent="0.25">
      <c r="A13" s="201" t="s">
        <v>5</v>
      </c>
      <c r="B13" s="202"/>
      <c r="C13" s="202"/>
      <c r="D13" s="202"/>
      <c r="E13" s="202"/>
      <c r="F13" s="177">
        <f>235000/7.5345</f>
        <v>31189.859977437121</v>
      </c>
      <c r="G13" s="177">
        <f>224600/7.5345</f>
        <v>29809.54276992501</v>
      </c>
      <c r="H13" s="176">
        <f>208600/7.5345</f>
        <v>27685.977835290993</v>
      </c>
    </row>
    <row r="14" spans="1:8" x14ac:dyDescent="0.25">
      <c r="A14" s="199" t="s">
        <v>6</v>
      </c>
      <c r="B14" s="200"/>
      <c r="C14" s="200"/>
      <c r="D14" s="200"/>
      <c r="E14" s="200"/>
      <c r="F14" s="178">
        <f>F9-F12-F13</f>
        <v>-4778.021102926632</v>
      </c>
      <c r="G14" s="178">
        <f>G9-G12-G13</f>
        <v>-2654.4561682923631</v>
      </c>
      <c r="H14" s="178">
        <f>H9-H12-H13</f>
        <v>7.2759576141834259E-11</v>
      </c>
    </row>
    <row r="15" spans="1:8" ht="18" x14ac:dyDescent="0.25">
      <c r="A15" s="3"/>
      <c r="B15" s="6"/>
      <c r="C15" s="6"/>
      <c r="D15" s="6"/>
      <c r="E15" s="6"/>
      <c r="F15" s="179"/>
      <c r="G15" s="179"/>
      <c r="H15" s="179"/>
    </row>
    <row r="16" spans="1:8" ht="18" customHeight="1" x14ac:dyDescent="0.25">
      <c r="A16" s="186" t="s">
        <v>40</v>
      </c>
      <c r="B16" s="187"/>
      <c r="C16" s="187"/>
      <c r="D16" s="187"/>
      <c r="E16" s="187"/>
      <c r="F16" s="187"/>
      <c r="G16" s="187"/>
      <c r="H16" s="187"/>
    </row>
    <row r="17" spans="1:8" ht="18" x14ac:dyDescent="0.25">
      <c r="A17" s="21"/>
      <c r="B17" s="20"/>
      <c r="C17" s="20"/>
      <c r="D17" s="20"/>
      <c r="E17" s="20"/>
      <c r="F17" s="179"/>
      <c r="G17" s="179"/>
      <c r="H17" s="179"/>
    </row>
    <row r="18" spans="1:8" ht="25.5" x14ac:dyDescent="0.25">
      <c r="A18" s="25"/>
      <c r="B18" s="26"/>
      <c r="C18" s="26"/>
      <c r="D18" s="27"/>
      <c r="E18" s="28"/>
      <c r="F18" s="174" t="s">
        <v>45</v>
      </c>
      <c r="G18" s="174" t="s">
        <v>46</v>
      </c>
      <c r="H18" s="174" t="s">
        <v>47</v>
      </c>
    </row>
    <row r="19" spans="1:8" ht="15.75" customHeight="1" x14ac:dyDescent="0.25">
      <c r="A19" s="196" t="s">
        <v>8</v>
      </c>
      <c r="B19" s="197"/>
      <c r="C19" s="197"/>
      <c r="D19" s="197"/>
      <c r="E19" s="198"/>
      <c r="F19" s="177">
        <v>0</v>
      </c>
      <c r="G19" s="177">
        <v>0</v>
      </c>
      <c r="H19" s="177">
        <v>0</v>
      </c>
    </row>
    <row r="20" spans="1:8" x14ac:dyDescent="0.25">
      <c r="A20" s="196" t="s">
        <v>9</v>
      </c>
      <c r="B20" s="189"/>
      <c r="C20" s="189"/>
      <c r="D20" s="189"/>
      <c r="E20" s="189"/>
      <c r="F20" s="177">
        <v>0</v>
      </c>
      <c r="G20" s="177">
        <v>0</v>
      </c>
      <c r="H20" s="177">
        <v>0</v>
      </c>
    </row>
    <row r="21" spans="1:8" x14ac:dyDescent="0.25">
      <c r="A21" s="199" t="s">
        <v>10</v>
      </c>
      <c r="B21" s="200"/>
      <c r="C21" s="200"/>
      <c r="D21" s="200"/>
      <c r="E21" s="200"/>
      <c r="F21" s="175">
        <v>0</v>
      </c>
      <c r="G21" s="175">
        <v>0</v>
      </c>
      <c r="H21" s="175">
        <v>0</v>
      </c>
    </row>
    <row r="22" spans="1:8" ht="18" x14ac:dyDescent="0.25">
      <c r="A22" s="19"/>
      <c r="B22" s="20"/>
      <c r="C22" s="20"/>
      <c r="D22" s="20"/>
      <c r="E22" s="20"/>
      <c r="F22" s="179"/>
      <c r="G22" s="179"/>
      <c r="H22" s="179"/>
    </row>
    <row r="23" spans="1:8" ht="18" customHeight="1" x14ac:dyDescent="0.25">
      <c r="A23" s="186" t="s">
        <v>51</v>
      </c>
      <c r="B23" s="187"/>
      <c r="C23" s="187"/>
      <c r="D23" s="187"/>
      <c r="E23" s="187"/>
      <c r="F23" s="187"/>
      <c r="G23" s="187"/>
      <c r="H23" s="187"/>
    </row>
    <row r="24" spans="1:8" ht="18" x14ac:dyDescent="0.25">
      <c r="A24" s="19"/>
      <c r="B24" s="20"/>
      <c r="C24" s="20"/>
      <c r="D24" s="20"/>
      <c r="E24" s="20"/>
      <c r="F24" s="179"/>
      <c r="G24" s="179"/>
      <c r="H24" s="179"/>
    </row>
    <row r="25" spans="1:8" ht="25.5" x14ac:dyDescent="0.25">
      <c r="A25" s="25"/>
      <c r="B25" s="26"/>
      <c r="C25" s="26"/>
      <c r="D25" s="27"/>
      <c r="E25" s="28"/>
      <c r="F25" s="174" t="s">
        <v>45</v>
      </c>
      <c r="G25" s="174" t="s">
        <v>46</v>
      </c>
      <c r="H25" s="174" t="s">
        <v>47</v>
      </c>
    </row>
    <row r="26" spans="1:8" x14ac:dyDescent="0.25">
      <c r="A26" s="190" t="s">
        <v>41</v>
      </c>
      <c r="B26" s="191"/>
      <c r="C26" s="191"/>
      <c r="D26" s="191"/>
      <c r="E26" s="192"/>
      <c r="F26" s="180">
        <f>56000/7.5345</f>
        <v>7432.4772712190588</v>
      </c>
      <c r="G26" s="180">
        <f>20000/7.5345</f>
        <v>2654.4561682925209</v>
      </c>
      <c r="H26" s="181">
        <v>0</v>
      </c>
    </row>
    <row r="27" spans="1:8" ht="30" customHeight="1" x14ac:dyDescent="0.25">
      <c r="A27" s="193" t="s">
        <v>7</v>
      </c>
      <c r="B27" s="194"/>
      <c r="C27" s="194"/>
      <c r="D27" s="194"/>
      <c r="E27" s="195"/>
      <c r="F27" s="182">
        <f>36000/7.5345</f>
        <v>4778.0211029265374</v>
      </c>
      <c r="G27" s="180">
        <f>20000/7.5345</f>
        <v>2654.4561682925209</v>
      </c>
      <c r="H27" s="178">
        <v>0</v>
      </c>
    </row>
    <row r="30" spans="1:8" x14ac:dyDescent="0.25">
      <c r="A30" s="188" t="s">
        <v>11</v>
      </c>
      <c r="B30" s="189"/>
      <c r="C30" s="189"/>
      <c r="D30" s="189"/>
      <c r="E30" s="189"/>
      <c r="F30" s="177">
        <v>0</v>
      </c>
      <c r="G30" s="177">
        <v>0</v>
      </c>
      <c r="H30" s="177">
        <v>0</v>
      </c>
    </row>
    <row r="31" spans="1:8" ht="11.25" customHeight="1" x14ac:dyDescent="0.25">
      <c r="A31" s="15"/>
      <c r="B31" s="16"/>
      <c r="C31" s="16"/>
      <c r="D31" s="16"/>
      <c r="E31" s="16"/>
      <c r="F31" s="183"/>
      <c r="G31" s="183"/>
      <c r="H31" s="183"/>
    </row>
    <row r="32" spans="1:8" ht="29.25" customHeight="1" x14ac:dyDescent="0.25">
      <c r="A32" s="184" t="s">
        <v>52</v>
      </c>
      <c r="B32" s="185"/>
      <c r="C32" s="185"/>
      <c r="D32" s="185"/>
      <c r="E32" s="185"/>
      <c r="F32" s="185"/>
      <c r="G32" s="185"/>
      <c r="H32" s="185"/>
    </row>
    <row r="33" spans="1:8" ht="7.5" customHeight="1" x14ac:dyDescent="0.25"/>
    <row r="34" spans="1:8" x14ac:dyDescent="0.25">
      <c r="A34" s="184" t="s">
        <v>43</v>
      </c>
      <c r="B34" s="185"/>
      <c r="C34" s="185"/>
      <c r="D34" s="185"/>
      <c r="E34" s="185"/>
      <c r="F34" s="185"/>
      <c r="G34" s="185"/>
      <c r="H34" s="185"/>
    </row>
    <row r="35" spans="1:8" ht="9" customHeight="1" x14ac:dyDescent="0.25"/>
    <row r="36" spans="1:8" ht="29.25" customHeight="1" x14ac:dyDescent="0.25">
      <c r="A36" s="184" t="s">
        <v>44</v>
      </c>
      <c r="B36" s="185"/>
      <c r="C36" s="185"/>
      <c r="D36" s="185"/>
      <c r="E36" s="185"/>
      <c r="F36" s="185"/>
      <c r="G36" s="185"/>
      <c r="H36" s="185"/>
    </row>
  </sheetData>
  <mergeCells count="20">
    <mergeCell ref="A12:E12"/>
    <mergeCell ref="A5:H5"/>
    <mergeCell ref="A16:H16"/>
    <mergeCell ref="A1:H1"/>
    <mergeCell ref="A3:H3"/>
    <mergeCell ref="A8:E8"/>
    <mergeCell ref="A9:E9"/>
    <mergeCell ref="A10:E10"/>
    <mergeCell ref="A19:E19"/>
    <mergeCell ref="A20:E20"/>
    <mergeCell ref="A21:E21"/>
    <mergeCell ref="A13:E13"/>
    <mergeCell ref="A14:E14"/>
    <mergeCell ref="A36:H36"/>
    <mergeCell ref="A23:H23"/>
    <mergeCell ref="A32:H32"/>
    <mergeCell ref="A30:E30"/>
    <mergeCell ref="A34:H34"/>
    <mergeCell ref="A26:E26"/>
    <mergeCell ref="A27:E2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topLeftCell="A4" workbookViewId="0">
      <selection activeCell="F12" sqref="F1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32.85546875" customWidth="1"/>
    <col min="5" max="7" width="25.28515625" customWidth="1"/>
    <col min="9" max="9" width="10.140625" bestFit="1" customWidth="1"/>
  </cols>
  <sheetData>
    <row r="1" spans="1:7" ht="48.75" customHeight="1" x14ac:dyDescent="0.25">
      <c r="A1" s="186" t="s">
        <v>69</v>
      </c>
      <c r="B1" s="186"/>
      <c r="C1" s="186"/>
      <c r="D1" s="186"/>
      <c r="E1" s="186"/>
      <c r="F1" s="186"/>
      <c r="G1" s="186"/>
    </row>
    <row r="2" spans="1:7" ht="18" customHeight="1" x14ac:dyDescent="0.25">
      <c r="A2" s="3"/>
      <c r="B2" s="3"/>
      <c r="C2" s="3"/>
      <c r="D2" s="3"/>
      <c r="E2" s="3"/>
      <c r="F2" s="3"/>
      <c r="G2" s="3"/>
    </row>
    <row r="3" spans="1:7" ht="15.75" x14ac:dyDescent="0.25">
      <c r="A3" s="186" t="s">
        <v>31</v>
      </c>
      <c r="B3" s="186"/>
      <c r="C3" s="186"/>
      <c r="D3" s="186"/>
      <c r="E3" s="186"/>
      <c r="F3" s="203"/>
      <c r="G3" s="203"/>
    </row>
    <row r="4" spans="1:7" ht="18" x14ac:dyDescent="0.25">
      <c r="A4" s="3"/>
      <c r="B4" s="3"/>
      <c r="C4" s="3"/>
      <c r="D4" s="3"/>
      <c r="E4" s="3"/>
      <c r="F4" s="4"/>
      <c r="G4" s="4"/>
    </row>
    <row r="5" spans="1:7" ht="18" customHeight="1" x14ac:dyDescent="0.25">
      <c r="A5" s="186" t="s">
        <v>13</v>
      </c>
      <c r="B5" s="187"/>
      <c r="C5" s="187"/>
      <c r="D5" s="187"/>
      <c r="E5" s="187"/>
      <c r="F5" s="187"/>
      <c r="G5" s="187"/>
    </row>
    <row r="6" spans="1:7" ht="18" x14ac:dyDescent="0.25">
      <c r="A6" s="3"/>
      <c r="B6" s="3"/>
      <c r="C6" s="3"/>
      <c r="D6" s="3"/>
      <c r="E6" s="3"/>
      <c r="F6" s="4"/>
      <c r="G6" s="4"/>
    </row>
    <row r="7" spans="1:7" ht="15.75" x14ac:dyDescent="0.25">
      <c r="A7" s="186" t="s">
        <v>1</v>
      </c>
      <c r="B7" s="210"/>
      <c r="C7" s="210"/>
      <c r="D7" s="210"/>
      <c r="E7" s="210"/>
      <c r="F7" s="210"/>
      <c r="G7" s="210"/>
    </row>
    <row r="8" spans="1:7" ht="18" x14ac:dyDescent="0.25">
      <c r="A8" s="3"/>
      <c r="B8" s="3"/>
      <c r="C8" s="3"/>
      <c r="D8" s="3"/>
      <c r="E8" s="3"/>
      <c r="F8" s="4"/>
      <c r="G8" s="4"/>
    </row>
    <row r="9" spans="1:7" ht="25.5" x14ac:dyDescent="0.25">
      <c r="A9" s="18" t="s">
        <v>14</v>
      </c>
      <c r="B9" s="17" t="s">
        <v>15</v>
      </c>
      <c r="C9" s="17" t="s">
        <v>16</v>
      </c>
      <c r="D9" s="17" t="s">
        <v>12</v>
      </c>
      <c r="E9" s="18" t="s">
        <v>45</v>
      </c>
      <c r="F9" s="18" t="s">
        <v>46</v>
      </c>
      <c r="G9" s="18" t="s">
        <v>47</v>
      </c>
    </row>
    <row r="10" spans="1:7" ht="15.75" customHeight="1" x14ac:dyDescent="0.25">
      <c r="A10" s="111">
        <v>6</v>
      </c>
      <c r="B10" s="111"/>
      <c r="C10" s="111"/>
      <c r="D10" s="111" t="s">
        <v>17</v>
      </c>
      <c r="E10" s="127">
        <f>(E11+E12+E13+E14+E15+E16+E17+E18)</f>
        <v>2150899.8606410511</v>
      </c>
      <c r="F10" s="127">
        <f>F11+F12+F13+F14+F15+F16+F17+F18</f>
        <v>2243027.8054283625</v>
      </c>
      <c r="G10" s="127">
        <f>G11+G12+G13+G14+G15+G16+G17+G18</f>
        <v>2330316.2784524518</v>
      </c>
    </row>
    <row r="11" spans="1:7" ht="25.5" x14ac:dyDescent="0.25">
      <c r="A11" s="8"/>
      <c r="B11" s="13">
        <v>63</v>
      </c>
      <c r="C11" s="13">
        <v>57</v>
      </c>
      <c r="D11" s="13" t="s">
        <v>48</v>
      </c>
      <c r="E11" s="128">
        <f>(11883000+70950+16325+55000+400000+27315+302500+1296+33750+45000+200+2550+250000+10000+8000)/7.5345</f>
        <v>1739449.9966819298</v>
      </c>
      <c r="F11" s="129">
        <f>13731300/7.5345</f>
        <v>1822456.6991837546</v>
      </c>
      <c r="G11" s="129">
        <f>14353975/7.5345</f>
        <v>1905099.8739133319</v>
      </c>
    </row>
    <row r="12" spans="1:7" x14ac:dyDescent="0.25">
      <c r="A12" s="9"/>
      <c r="B12" s="9">
        <v>63</v>
      </c>
      <c r="C12" s="10">
        <v>5402</v>
      </c>
      <c r="D12" s="10" t="s">
        <v>120</v>
      </c>
      <c r="E12" s="128">
        <f>(133972+28500+25000+528904)/7.5345</f>
        <v>95079.434600836146</v>
      </c>
      <c r="F12" s="129">
        <f>732000/7.5345</f>
        <v>97153.095759506265</v>
      </c>
      <c r="G12" s="129">
        <f>732000/7.5345</f>
        <v>97153.095759506265</v>
      </c>
    </row>
    <row r="13" spans="1:7" x14ac:dyDescent="0.25">
      <c r="A13" s="9"/>
      <c r="B13" s="9">
        <v>64</v>
      </c>
      <c r="C13" s="10">
        <v>31</v>
      </c>
      <c r="D13" s="10" t="s">
        <v>82</v>
      </c>
      <c r="E13" s="128">
        <f>10/7.5345</f>
        <v>1.3272280841462605</v>
      </c>
      <c r="F13" s="128">
        <f t="shared" ref="F13:G13" si="0">10/7.5345</f>
        <v>1.3272280841462605</v>
      </c>
      <c r="G13" s="128">
        <f t="shared" si="0"/>
        <v>1.3272280841462605</v>
      </c>
    </row>
    <row r="14" spans="1:7" x14ac:dyDescent="0.25">
      <c r="A14" s="9"/>
      <c r="B14" s="9">
        <v>65</v>
      </c>
      <c r="C14" s="10">
        <v>41</v>
      </c>
      <c r="D14" s="10" t="s">
        <v>81</v>
      </c>
      <c r="E14" s="128">
        <f>5000/7.5345</f>
        <v>663.61404207313024</v>
      </c>
      <c r="F14" s="129">
        <f>5000/7.5345</f>
        <v>663.61404207313024</v>
      </c>
      <c r="G14" s="129">
        <f>5000/7.5345</f>
        <v>663.61404207313024</v>
      </c>
    </row>
    <row r="15" spans="1:7" x14ac:dyDescent="0.25">
      <c r="A15" s="9"/>
      <c r="B15" s="9">
        <v>66</v>
      </c>
      <c r="C15" s="10">
        <v>31</v>
      </c>
      <c r="D15" s="10" t="s">
        <v>79</v>
      </c>
      <c r="E15" s="128">
        <f>87000/7.5345</f>
        <v>11546.884332072466</v>
      </c>
      <c r="F15" s="129">
        <f>90000/7.5345</f>
        <v>11945.052757316344</v>
      </c>
      <c r="G15" s="129">
        <f>90000/7.5345</f>
        <v>11945.052757316344</v>
      </c>
    </row>
    <row r="16" spans="1:7" x14ac:dyDescent="0.25">
      <c r="A16" s="9"/>
      <c r="B16" s="9">
        <v>66</v>
      </c>
      <c r="C16" s="10">
        <v>6103</v>
      </c>
      <c r="D16" s="10" t="s">
        <v>80</v>
      </c>
      <c r="E16" s="128">
        <f>3900/7.5345</f>
        <v>517.61895281704153</v>
      </c>
      <c r="F16" s="129">
        <f>4000/7.5345</f>
        <v>530.89123365850423</v>
      </c>
      <c r="G16" s="129">
        <f>4000/7.5345</f>
        <v>530.89123365850423</v>
      </c>
    </row>
    <row r="17" spans="1:10" ht="25.5" x14ac:dyDescent="0.25">
      <c r="A17" s="9"/>
      <c r="B17" s="9">
        <v>67</v>
      </c>
      <c r="C17" s="10">
        <v>11</v>
      </c>
      <c r="D17" s="13" t="s">
        <v>49</v>
      </c>
      <c r="E17" s="128">
        <f>2287183/7.5345</f>
        <v>303561.35111818963</v>
      </c>
      <c r="F17" s="129">
        <f>2337183/7.5345</f>
        <v>310197.49153892096</v>
      </c>
      <c r="G17" s="129">
        <f>2372183/7.5345</f>
        <v>314842.78983343288</v>
      </c>
    </row>
    <row r="18" spans="1:10" x14ac:dyDescent="0.25">
      <c r="A18" s="9"/>
      <c r="B18" s="9">
        <v>68</v>
      </c>
      <c r="C18" s="10">
        <v>31</v>
      </c>
      <c r="D18" s="13" t="s">
        <v>83</v>
      </c>
      <c r="E18" s="128">
        <f>600/7.5345</f>
        <v>79.633685048775632</v>
      </c>
      <c r="F18" s="128">
        <f>600/7.5345</f>
        <v>79.633685048775632</v>
      </c>
      <c r="G18" s="128">
        <f>600/7.5345</f>
        <v>79.633685048775632</v>
      </c>
    </row>
    <row r="20" spans="1:10" ht="15.75" x14ac:dyDescent="0.25">
      <c r="A20" s="186" t="s">
        <v>19</v>
      </c>
      <c r="B20" s="210"/>
      <c r="C20" s="210"/>
      <c r="D20" s="210"/>
      <c r="E20" s="210"/>
      <c r="F20" s="210"/>
      <c r="G20" s="210"/>
    </row>
    <row r="21" spans="1:10" ht="18" x14ac:dyDescent="0.25">
      <c r="A21" s="3"/>
      <c r="B21" s="3"/>
      <c r="C21" s="3"/>
      <c r="D21" s="3"/>
      <c r="E21" s="3"/>
      <c r="F21" s="4"/>
      <c r="G21" s="4"/>
    </row>
    <row r="22" spans="1:10" ht="25.5" x14ac:dyDescent="0.25">
      <c r="A22" s="18" t="s">
        <v>14</v>
      </c>
      <c r="B22" s="17" t="s">
        <v>15</v>
      </c>
      <c r="C22" s="17" t="s">
        <v>16</v>
      </c>
      <c r="D22" s="17" t="s">
        <v>20</v>
      </c>
      <c r="E22" s="18" t="s">
        <v>45</v>
      </c>
      <c r="F22" s="18" t="s">
        <v>46</v>
      </c>
      <c r="G22" s="18" t="s">
        <v>47</v>
      </c>
    </row>
    <row r="23" spans="1:10" ht="15.75" customHeight="1" x14ac:dyDescent="0.25">
      <c r="A23" s="111">
        <v>3</v>
      </c>
      <c r="B23" s="111"/>
      <c r="C23" s="111"/>
      <c r="D23" s="111" t="s">
        <v>21</v>
      </c>
      <c r="E23" s="127">
        <f>(E24+E29+E37+E39)</f>
        <v>2124488.0217665401</v>
      </c>
      <c r="F23" s="130">
        <f>F24+F29+F37+F39</f>
        <v>2215872.7188267298</v>
      </c>
      <c r="G23" s="130">
        <f>G24+G29+G37+G39</f>
        <v>2302630.3021919169</v>
      </c>
    </row>
    <row r="24" spans="1:10" ht="15.75" customHeight="1" x14ac:dyDescent="0.25">
      <c r="A24" s="8"/>
      <c r="B24" s="13">
        <v>31</v>
      </c>
      <c r="C24" s="13"/>
      <c r="D24" s="13" t="s">
        <v>22</v>
      </c>
      <c r="E24" s="129">
        <f>(E25+E26+E27+E28)</f>
        <v>1793884.9293251042</v>
      </c>
      <c r="F24" s="131">
        <f>F25+F26+F27+F28</f>
        <v>1880365.6513371821</v>
      </c>
      <c r="G24" s="131">
        <f>G25+G26+G27+G28</f>
        <v>1966016.9900942331</v>
      </c>
    </row>
    <row r="25" spans="1:10" x14ac:dyDescent="0.25">
      <c r="A25" s="9"/>
      <c r="B25" s="9"/>
      <c r="C25" s="10">
        <v>11</v>
      </c>
      <c r="D25" s="10" t="s">
        <v>18</v>
      </c>
      <c r="E25" s="132">
        <f>(442500+10800+29800+86406)/7.5345</f>
        <v>75586.435728980025</v>
      </c>
      <c r="F25" s="131">
        <f>593015/7.5345</f>
        <v>78706.616231999462</v>
      </c>
      <c r="G25" s="131">
        <f>615680/7.5345</f>
        <v>81714.778684716963</v>
      </c>
      <c r="I25" s="72"/>
    </row>
    <row r="26" spans="1:10" x14ac:dyDescent="0.25">
      <c r="A26" s="9"/>
      <c r="B26" s="9"/>
      <c r="C26" s="10">
        <v>57</v>
      </c>
      <c r="D26" s="10" t="s">
        <v>76</v>
      </c>
      <c r="E26" s="131">
        <f>(11883000+70950+16325+55000+400000+27315+1296)/7.5345</f>
        <v>1652914.7255955935</v>
      </c>
      <c r="F26" s="131">
        <f>13076600/7.5345</f>
        <v>1735563.076514699</v>
      </c>
      <c r="G26" s="131">
        <f>13699275/7.5345</f>
        <v>1818206.2512442763</v>
      </c>
      <c r="J26" s="72"/>
    </row>
    <row r="27" spans="1:10" x14ac:dyDescent="0.25">
      <c r="A27" s="9"/>
      <c r="B27" s="9"/>
      <c r="C27" s="10">
        <v>5402</v>
      </c>
      <c r="D27" s="10" t="s">
        <v>120</v>
      </c>
      <c r="E27" s="131">
        <f>489634/7.5345</f>
        <v>64985.599575287008</v>
      </c>
      <c r="F27" s="131">
        <f>495000/7.5345</f>
        <v>65697.790165239887</v>
      </c>
      <c r="G27" s="131">
        <f>495000/7.5345</f>
        <v>65697.790165239887</v>
      </c>
    </row>
    <row r="28" spans="1:10" x14ac:dyDescent="0.25">
      <c r="A28" s="9"/>
      <c r="B28" s="9"/>
      <c r="C28" s="10">
        <v>6103</v>
      </c>
      <c r="D28" s="10" t="s">
        <v>88</v>
      </c>
      <c r="E28" s="131">
        <f>3000/7.5345</f>
        <v>398.16842524387812</v>
      </c>
      <c r="F28" s="131">
        <f>3000/7.5345</f>
        <v>398.16842524387812</v>
      </c>
      <c r="G28" s="131">
        <v>398.17</v>
      </c>
      <c r="J28" s="72"/>
    </row>
    <row r="29" spans="1:10" x14ac:dyDescent="0.25">
      <c r="A29" s="9"/>
      <c r="B29" s="9">
        <v>32</v>
      </c>
      <c r="C29" s="10"/>
      <c r="D29" s="9" t="s">
        <v>34</v>
      </c>
      <c r="E29" s="131">
        <f>(E30+E31+E32+E33+E34+E35+E36)</f>
        <v>255747.42849558694</v>
      </c>
      <c r="F29" s="131">
        <f>F30+F31+F32+F33+F34+F35+F36</f>
        <v>259324.17545955267</v>
      </c>
      <c r="G29" s="131">
        <f>G30+G31+G32+G33+G34+G35+G36</f>
        <v>260430.4200676886</v>
      </c>
    </row>
    <row r="30" spans="1:10" x14ac:dyDescent="0.25">
      <c r="A30" s="9"/>
      <c r="B30" s="9"/>
      <c r="C30" s="10">
        <v>11</v>
      </c>
      <c r="D30" s="10" t="s">
        <v>18</v>
      </c>
      <c r="E30" s="131">
        <f>(14000+410000+700000+75600+17100+40800+5000+51247+6930+3000)/7.5345</f>
        <v>175682.12887384696</v>
      </c>
      <c r="F30" s="131">
        <f>1340168/7.5345</f>
        <v>177870.86070741256</v>
      </c>
      <c r="G30" s="131">
        <f>1352503/7.5345</f>
        <v>179507.99654920696</v>
      </c>
    </row>
    <row r="31" spans="1:10" x14ac:dyDescent="0.25">
      <c r="A31" s="9"/>
      <c r="B31" s="9"/>
      <c r="C31" s="10">
        <v>31</v>
      </c>
      <c r="D31" s="10" t="s">
        <v>38</v>
      </c>
      <c r="E31" s="131">
        <f>17410/7.5345</f>
        <v>2310.7040944986393</v>
      </c>
      <c r="F31" s="131">
        <f>18010/7.5345</f>
        <v>2390.3377795474153</v>
      </c>
      <c r="G31" s="131">
        <f>18010/7.5345</f>
        <v>2390.3377795474153</v>
      </c>
    </row>
    <row r="32" spans="1:10" x14ac:dyDescent="0.25">
      <c r="A32" s="9"/>
      <c r="B32" s="9"/>
      <c r="C32" s="10">
        <v>41</v>
      </c>
      <c r="D32" s="10" t="s">
        <v>84</v>
      </c>
      <c r="E32" s="131">
        <f>2000/7.5345</f>
        <v>265.44561682925212</v>
      </c>
      <c r="F32" s="131">
        <f>2000/7.5345</f>
        <v>265.44561682925212</v>
      </c>
      <c r="G32" s="131">
        <f>2000/7.5345</f>
        <v>265.44561682925212</v>
      </c>
    </row>
    <row r="33" spans="1:9" x14ac:dyDescent="0.25">
      <c r="A33" s="9"/>
      <c r="B33" s="9"/>
      <c r="C33" s="10">
        <v>5402</v>
      </c>
      <c r="D33" s="10" t="s">
        <v>120</v>
      </c>
      <c r="E33" s="131">
        <f>(187472+39270)/7.5345</f>
        <v>30093.835025549139</v>
      </c>
      <c r="F33" s="131">
        <f>237000/7.5345</f>
        <v>31455.305594266374</v>
      </c>
      <c r="G33" s="131">
        <f>237000/7.5345</f>
        <v>31455.305594266374</v>
      </c>
      <c r="I33" s="72"/>
    </row>
    <row r="34" spans="1:9" x14ac:dyDescent="0.25">
      <c r="A34" s="9"/>
      <c r="B34" s="9"/>
      <c r="C34" s="10">
        <v>57</v>
      </c>
      <c r="D34" s="10" t="s">
        <v>76</v>
      </c>
      <c r="E34" s="131">
        <f>(302500+2550+10200+33750)/7.5345</f>
        <v>46320.260136704492</v>
      </c>
      <c r="F34" s="131">
        <f>351700/7.5345</f>
        <v>46678.611719423978</v>
      </c>
      <c r="G34" s="131">
        <f>351700/7.5345</f>
        <v>46678.611719423978</v>
      </c>
      <c r="H34" s="72"/>
    </row>
    <row r="35" spans="1:9" x14ac:dyDescent="0.25">
      <c r="A35" s="9"/>
      <c r="B35" s="9"/>
      <c r="C35" s="10">
        <v>6103</v>
      </c>
      <c r="D35" s="10" t="s">
        <v>80</v>
      </c>
      <c r="E35" s="131">
        <f>900/7.5345</f>
        <v>119.45052757316344</v>
      </c>
      <c r="F35" s="131">
        <f>1000/7.5345</f>
        <v>132.72280841462606</v>
      </c>
      <c r="G35" s="131">
        <f>1000/7.5345</f>
        <v>132.72280841462606</v>
      </c>
    </row>
    <row r="36" spans="1:9" x14ac:dyDescent="0.25">
      <c r="A36" s="9"/>
      <c r="B36" s="9"/>
      <c r="C36" s="10">
        <v>9231</v>
      </c>
      <c r="D36" s="10" t="s">
        <v>85</v>
      </c>
      <c r="E36" s="131">
        <f>7200/7.5345</f>
        <v>955.60422058530753</v>
      </c>
      <c r="F36" s="131">
        <f>4000/7.5345</f>
        <v>530.89123365850423</v>
      </c>
      <c r="G36" s="131">
        <v>0</v>
      </c>
    </row>
    <row r="37" spans="1:9" x14ac:dyDescent="0.25">
      <c r="A37" s="9"/>
      <c r="B37" s="9">
        <v>34</v>
      </c>
      <c r="C37" s="10"/>
      <c r="D37" s="10" t="s">
        <v>63</v>
      </c>
      <c r="E37" s="131">
        <f>4000/7.5345</f>
        <v>530.89123365850423</v>
      </c>
      <c r="F37" s="131">
        <f t="shared" ref="F37:F38" si="1">4000/7.5345</f>
        <v>530.89123365850423</v>
      </c>
      <c r="G37" s="131">
        <f>4000/7.5345</f>
        <v>530.89123365850423</v>
      </c>
    </row>
    <row r="38" spans="1:9" x14ac:dyDescent="0.25">
      <c r="A38" s="9"/>
      <c r="B38" s="9"/>
      <c r="C38" s="10">
        <v>11</v>
      </c>
      <c r="D38" s="10" t="s">
        <v>18</v>
      </c>
      <c r="E38" s="131">
        <f>4000/7.5345</f>
        <v>530.89123365850423</v>
      </c>
      <c r="F38" s="131">
        <f t="shared" si="1"/>
        <v>530.89123365850423</v>
      </c>
      <c r="G38" s="131">
        <v>530.89</v>
      </c>
    </row>
    <row r="39" spans="1:9" x14ac:dyDescent="0.25">
      <c r="A39" s="9"/>
      <c r="B39" s="9">
        <v>37</v>
      </c>
      <c r="C39" s="10"/>
      <c r="D39" s="10" t="s">
        <v>86</v>
      </c>
      <c r="E39" s="131">
        <f>E40+E41+E42+E43</f>
        <v>74324.772712190577</v>
      </c>
      <c r="F39" s="131">
        <f>F40+F41+F42+F43</f>
        <v>75652.000796336855</v>
      </c>
      <c r="G39" s="131">
        <f>G40+G41+G42+G43</f>
        <v>75652.000796336855</v>
      </c>
    </row>
    <row r="40" spans="1:9" x14ac:dyDescent="0.25">
      <c r="A40" s="9"/>
      <c r="B40" s="9"/>
      <c r="C40" s="10">
        <v>11</v>
      </c>
      <c r="D40" s="10" t="s">
        <v>18</v>
      </c>
      <c r="E40" s="131">
        <f>310000/7.5345</f>
        <v>41144.070608534072</v>
      </c>
      <c r="F40" s="131">
        <f>320000/7.5345</f>
        <v>42471.298692680335</v>
      </c>
      <c r="G40" s="131">
        <f>320000/7.5345</f>
        <v>42471.298692680335</v>
      </c>
    </row>
    <row r="41" spans="1:9" x14ac:dyDescent="0.25">
      <c r="A41" s="9"/>
      <c r="B41" s="9"/>
      <c r="C41" s="10">
        <v>31</v>
      </c>
      <c r="D41" s="10" t="s">
        <v>38</v>
      </c>
      <c r="E41" s="131">
        <f>2000/7.5345</f>
        <v>265.44561682925212</v>
      </c>
      <c r="F41" s="131">
        <f>2000/7.5345</f>
        <v>265.44561682925212</v>
      </c>
      <c r="G41" s="131">
        <f>2000/7.5345</f>
        <v>265.44561682925212</v>
      </c>
    </row>
    <row r="42" spans="1:9" x14ac:dyDescent="0.25">
      <c r="A42" s="9"/>
      <c r="B42" s="9"/>
      <c r="C42" s="10">
        <v>41</v>
      </c>
      <c r="D42" s="10" t="s">
        <v>84</v>
      </c>
      <c r="E42" s="131">
        <f>3000/7.5345</f>
        <v>398.16842524387812</v>
      </c>
      <c r="F42" s="131">
        <f>3000/7.5345</f>
        <v>398.16842524387812</v>
      </c>
      <c r="G42" s="131">
        <f>3000/7.5345</f>
        <v>398.16842524387812</v>
      </c>
    </row>
    <row r="43" spans="1:9" x14ac:dyDescent="0.25">
      <c r="A43" s="9"/>
      <c r="B43" s="24"/>
      <c r="C43" s="10">
        <v>57</v>
      </c>
      <c r="D43" s="10" t="s">
        <v>76</v>
      </c>
      <c r="E43" s="131">
        <f>245000/7.5345</f>
        <v>32517.088061583381</v>
      </c>
      <c r="F43" s="131">
        <f>245000/7.5345</f>
        <v>32517.088061583381</v>
      </c>
      <c r="G43" s="131">
        <f>245000/7.5345</f>
        <v>32517.088061583381</v>
      </c>
    </row>
    <row r="44" spans="1:9" ht="25.5" x14ac:dyDescent="0.25">
      <c r="A44" s="112">
        <v>4</v>
      </c>
      <c r="B44" s="113"/>
      <c r="C44" s="113"/>
      <c r="D44" s="114" t="s">
        <v>23</v>
      </c>
      <c r="E44" s="130">
        <f>E45</f>
        <v>31189.859977437118</v>
      </c>
      <c r="F44" s="130">
        <f>F45</f>
        <v>29809.54276992501</v>
      </c>
      <c r="G44" s="130">
        <f>G45</f>
        <v>27685.977835290993</v>
      </c>
    </row>
    <row r="45" spans="1:9" ht="25.5" x14ac:dyDescent="0.25">
      <c r="A45" s="13"/>
      <c r="B45" s="13">
        <v>42</v>
      </c>
      <c r="C45" s="13"/>
      <c r="D45" s="23" t="s">
        <v>50</v>
      </c>
      <c r="E45" s="131">
        <f>E46+E47+E48+E49</f>
        <v>31189.859977437118</v>
      </c>
      <c r="F45" s="131">
        <f>F46+F47+F48+F49</f>
        <v>29809.54276992501</v>
      </c>
      <c r="G45" s="131">
        <f>G46+G47+G48+G49</f>
        <v>27685.977835290993</v>
      </c>
    </row>
    <row r="46" spans="1:9" x14ac:dyDescent="0.25">
      <c r="A46" s="13"/>
      <c r="B46" s="13"/>
      <c r="C46" s="13">
        <v>11</v>
      </c>
      <c r="D46" s="55" t="s">
        <v>18</v>
      </c>
      <c r="E46" s="131">
        <f>80000/7.5345</f>
        <v>10617.824673170084</v>
      </c>
      <c r="F46" s="131">
        <f>80000/7.5345</f>
        <v>10617.824673170084</v>
      </c>
      <c r="G46" s="131">
        <f>80000/7.5345</f>
        <v>10617.824673170084</v>
      </c>
    </row>
    <row r="47" spans="1:9" x14ac:dyDescent="0.25">
      <c r="A47" s="13"/>
      <c r="B47" s="13"/>
      <c r="C47" s="13">
        <v>31</v>
      </c>
      <c r="D47" s="23" t="s">
        <v>38</v>
      </c>
      <c r="E47" s="131">
        <f>68200/7.5345</f>
        <v>9051.6955338774969</v>
      </c>
      <c r="F47" s="131">
        <f>70600/7.5345</f>
        <v>9370.2302740725991</v>
      </c>
      <c r="G47" s="131">
        <f>70600/7.5345</f>
        <v>9370.2302740725991</v>
      </c>
    </row>
    <row r="48" spans="1:9" x14ac:dyDescent="0.25">
      <c r="A48" s="13"/>
      <c r="B48" s="13"/>
      <c r="C48" s="13">
        <v>57</v>
      </c>
      <c r="D48" s="23" t="s">
        <v>76</v>
      </c>
      <c r="E48" s="131">
        <f>58000/7.5345</f>
        <v>7697.9228880483106</v>
      </c>
      <c r="F48" s="131">
        <f>58000/7.5345</f>
        <v>7697.9228880483106</v>
      </c>
      <c r="G48" s="131">
        <f>58000/7.5345</f>
        <v>7697.9228880483106</v>
      </c>
    </row>
    <row r="49" spans="1:7" x14ac:dyDescent="0.25">
      <c r="A49" s="13"/>
      <c r="B49" s="13"/>
      <c r="C49" s="13">
        <v>9231</v>
      </c>
      <c r="D49" s="23" t="s">
        <v>87</v>
      </c>
      <c r="E49" s="131">
        <f>28800/7.5345</f>
        <v>3822.4168823412301</v>
      </c>
      <c r="F49" s="131">
        <f>16000/7.5345</f>
        <v>2123.5649346340169</v>
      </c>
      <c r="G49" s="133">
        <v>0</v>
      </c>
    </row>
    <row r="50" spans="1:7" x14ac:dyDescent="0.25">
      <c r="A50" s="207" t="s">
        <v>26</v>
      </c>
      <c r="B50" s="208"/>
      <c r="C50" s="208"/>
      <c r="D50" s="209"/>
      <c r="E50" s="134">
        <f>E23+E44</f>
        <v>2155677.8817439773</v>
      </c>
      <c r="F50" s="135">
        <f>F23+F44</f>
        <v>2245682.261596655</v>
      </c>
      <c r="G50" s="136">
        <f>G23+G44</f>
        <v>2330316.2800272079</v>
      </c>
    </row>
    <row r="51" spans="1:7" x14ac:dyDescent="0.25">
      <c r="A51" s="51"/>
      <c r="B51" s="51"/>
      <c r="C51" s="52"/>
      <c r="D51" s="52"/>
      <c r="E51" s="53"/>
      <c r="F51" s="53"/>
      <c r="G51" s="54"/>
    </row>
  </sheetData>
  <mergeCells count="6">
    <mergeCell ref="A50:D50"/>
    <mergeCell ref="A7:G7"/>
    <mergeCell ref="A20:G20"/>
    <mergeCell ref="A1:G1"/>
    <mergeCell ref="A3:G3"/>
    <mergeCell ref="A5:G5"/>
  </mergeCells>
  <pageMargins left="0.25" right="0.25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B10" sqref="B10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42" customHeight="1" x14ac:dyDescent="0.25">
      <c r="A1" s="186" t="s">
        <v>68</v>
      </c>
      <c r="B1" s="186"/>
      <c r="C1" s="186"/>
      <c r="D1" s="186"/>
    </row>
    <row r="2" spans="1:4" ht="18" customHeight="1" x14ac:dyDescent="0.25">
      <c r="A2" s="3"/>
      <c r="B2" s="3"/>
      <c r="C2" s="3"/>
      <c r="D2" s="3"/>
    </row>
    <row r="3" spans="1:4" ht="15.75" x14ac:dyDescent="0.25">
      <c r="A3" s="186" t="s">
        <v>31</v>
      </c>
      <c r="B3" s="186"/>
      <c r="C3" s="203"/>
      <c r="D3" s="203"/>
    </row>
    <row r="4" spans="1:4" ht="18" x14ac:dyDescent="0.25">
      <c r="A4" s="3"/>
      <c r="B4" s="3"/>
      <c r="C4" s="4"/>
      <c r="D4" s="4"/>
    </row>
    <row r="5" spans="1:4" ht="18" customHeight="1" x14ac:dyDescent="0.25">
      <c r="A5" s="186" t="s">
        <v>13</v>
      </c>
      <c r="B5" s="187"/>
      <c r="C5" s="187"/>
      <c r="D5" s="187"/>
    </row>
    <row r="6" spans="1:4" ht="18" x14ac:dyDescent="0.25">
      <c r="A6" s="3"/>
      <c r="B6" s="3"/>
      <c r="C6" s="4"/>
      <c r="D6" s="4"/>
    </row>
    <row r="7" spans="1:4" ht="15.75" x14ac:dyDescent="0.25">
      <c r="A7" s="186" t="s">
        <v>24</v>
      </c>
      <c r="B7" s="210"/>
      <c r="C7" s="210"/>
      <c r="D7" s="210"/>
    </row>
    <row r="8" spans="1:4" ht="18" x14ac:dyDescent="0.25">
      <c r="A8" s="3"/>
      <c r="B8" s="3"/>
      <c r="C8" s="4"/>
      <c r="D8" s="4"/>
    </row>
    <row r="9" spans="1:4" ht="25.5" x14ac:dyDescent="0.25">
      <c r="A9" s="18" t="s">
        <v>25</v>
      </c>
      <c r="B9" s="18" t="s">
        <v>45</v>
      </c>
      <c r="C9" s="18" t="s">
        <v>46</v>
      </c>
      <c r="D9" s="18" t="s">
        <v>47</v>
      </c>
    </row>
    <row r="10" spans="1:4" ht="15.75" customHeight="1" x14ac:dyDescent="0.25">
      <c r="A10" s="111" t="s">
        <v>26</v>
      </c>
      <c r="B10" s="127">
        <f>16241955/7.5345</f>
        <v>2155677.8817439778</v>
      </c>
      <c r="C10" s="127">
        <f>16920093/7.5345</f>
        <v>2245682.2615966555</v>
      </c>
      <c r="D10" s="127">
        <f>17557768/7.5345</f>
        <v>2330316.2784524518</v>
      </c>
    </row>
    <row r="11" spans="1:4" ht="15.75" customHeight="1" x14ac:dyDescent="0.25">
      <c r="A11" s="8" t="s">
        <v>65</v>
      </c>
      <c r="B11" s="129">
        <f>16241955/7.5345</f>
        <v>2155677.8817439778</v>
      </c>
      <c r="C11" s="129">
        <f>16920093/7.5345</f>
        <v>2245682.2615966555</v>
      </c>
      <c r="D11" s="129">
        <f>17557768/7.5345</f>
        <v>2330316.2784524518</v>
      </c>
    </row>
    <row r="12" spans="1:4" x14ac:dyDescent="0.25">
      <c r="A12" s="14" t="s">
        <v>66</v>
      </c>
      <c r="B12" s="129">
        <f>B11-B13</f>
        <v>2130457.7609662223</v>
      </c>
      <c r="C12" s="129">
        <f t="shared" ref="C12:D12" si="0">C11-C13</f>
        <v>2219137.6999137304</v>
      </c>
      <c r="D12" s="129">
        <f t="shared" si="0"/>
        <v>2303771.7167695267</v>
      </c>
    </row>
    <row r="13" spans="1:4" x14ac:dyDescent="0.25">
      <c r="A13" s="8" t="s">
        <v>67</v>
      </c>
      <c r="B13" s="129">
        <f>190021/7.5345</f>
        <v>25220.120777755656</v>
      </c>
      <c r="C13" s="129">
        <f>200000/7.5345</f>
        <v>26544.56168292521</v>
      </c>
      <c r="D13" s="129">
        <f>200000/7.5345</f>
        <v>26544.56168292521</v>
      </c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>
      <selection activeCell="F29" sqref="F2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42" customHeight="1" x14ac:dyDescent="0.25">
      <c r="A1" s="186" t="s">
        <v>68</v>
      </c>
      <c r="B1" s="186"/>
      <c r="C1" s="186"/>
      <c r="D1" s="186"/>
      <c r="E1" s="186"/>
      <c r="F1" s="186"/>
      <c r="G1" s="186"/>
    </row>
    <row r="2" spans="1:7" ht="18" customHeight="1" x14ac:dyDescent="0.25">
      <c r="A2" s="3"/>
      <c r="B2" s="3"/>
      <c r="C2" s="3"/>
      <c r="D2" s="3"/>
      <c r="E2" s="3"/>
      <c r="F2" s="3"/>
      <c r="G2" s="3"/>
    </row>
    <row r="3" spans="1:7" ht="15.75" x14ac:dyDescent="0.25">
      <c r="A3" s="186" t="s">
        <v>31</v>
      </c>
      <c r="B3" s="186"/>
      <c r="C3" s="186"/>
      <c r="D3" s="186"/>
      <c r="E3" s="186"/>
      <c r="F3" s="203"/>
      <c r="G3" s="203"/>
    </row>
    <row r="4" spans="1:7" ht="18" x14ac:dyDescent="0.25">
      <c r="A4" s="3"/>
      <c r="B4" s="3"/>
      <c r="C4" s="3"/>
      <c r="D4" s="3"/>
      <c r="E4" s="3"/>
      <c r="F4" s="4"/>
      <c r="G4" s="4"/>
    </row>
    <row r="5" spans="1:7" ht="18" customHeight="1" x14ac:dyDescent="0.25">
      <c r="A5" s="186" t="s">
        <v>27</v>
      </c>
      <c r="B5" s="187"/>
      <c r="C5" s="187"/>
      <c r="D5" s="187"/>
      <c r="E5" s="187"/>
      <c r="F5" s="187"/>
      <c r="G5" s="187"/>
    </row>
    <row r="6" spans="1:7" ht="18" x14ac:dyDescent="0.25">
      <c r="A6" s="3"/>
      <c r="B6" s="3"/>
      <c r="C6" s="3"/>
      <c r="D6" s="3"/>
      <c r="E6" s="3"/>
      <c r="F6" s="4"/>
      <c r="G6" s="4"/>
    </row>
    <row r="7" spans="1:7" ht="25.5" x14ac:dyDescent="0.25">
      <c r="A7" s="18" t="s">
        <v>14</v>
      </c>
      <c r="B7" s="17" t="s">
        <v>15</v>
      </c>
      <c r="C7" s="17" t="s">
        <v>16</v>
      </c>
      <c r="D7" s="17" t="s">
        <v>53</v>
      </c>
      <c r="E7" s="18" t="s">
        <v>45</v>
      </c>
      <c r="F7" s="18" t="s">
        <v>46</v>
      </c>
      <c r="G7" s="18" t="s">
        <v>47</v>
      </c>
    </row>
    <row r="8" spans="1:7" ht="25.5" x14ac:dyDescent="0.25">
      <c r="A8" s="8">
        <v>8</v>
      </c>
      <c r="B8" s="8"/>
      <c r="C8" s="8"/>
      <c r="D8" s="8" t="s">
        <v>28</v>
      </c>
      <c r="E8" s="7">
        <v>0</v>
      </c>
      <c r="F8" s="7">
        <v>0</v>
      </c>
      <c r="G8" s="7">
        <v>0</v>
      </c>
    </row>
    <row r="9" spans="1:7" x14ac:dyDescent="0.25">
      <c r="A9" s="8"/>
      <c r="B9" s="13">
        <v>84</v>
      </c>
      <c r="C9" s="13"/>
      <c r="D9" s="13" t="s">
        <v>35</v>
      </c>
      <c r="E9" s="7">
        <v>0</v>
      </c>
      <c r="F9" s="7">
        <v>0</v>
      </c>
      <c r="G9" s="7">
        <v>0</v>
      </c>
    </row>
    <row r="10" spans="1:7" ht="25.5" x14ac:dyDescent="0.25">
      <c r="A10" s="9"/>
      <c r="B10" s="9"/>
      <c r="C10" s="10">
        <v>81</v>
      </c>
      <c r="D10" s="14" t="s">
        <v>36</v>
      </c>
      <c r="E10" s="7">
        <v>0</v>
      </c>
      <c r="F10" s="7">
        <v>0</v>
      </c>
      <c r="G10" s="7">
        <v>0</v>
      </c>
    </row>
    <row r="11" spans="1:7" ht="25.5" x14ac:dyDescent="0.25">
      <c r="A11" s="11">
        <v>5</v>
      </c>
      <c r="B11" s="12"/>
      <c r="C11" s="12"/>
      <c r="D11" s="22" t="s">
        <v>29</v>
      </c>
      <c r="E11" s="7">
        <v>0</v>
      </c>
      <c r="F11" s="7">
        <v>0</v>
      </c>
      <c r="G11" s="7">
        <v>0</v>
      </c>
    </row>
    <row r="12" spans="1:7" ht="25.5" x14ac:dyDescent="0.25">
      <c r="A12" s="13"/>
      <c r="B12" s="13">
        <v>54</v>
      </c>
      <c r="C12" s="13"/>
      <c r="D12" s="23" t="s">
        <v>37</v>
      </c>
      <c r="E12" s="7">
        <v>0</v>
      </c>
      <c r="F12" s="7">
        <v>0</v>
      </c>
      <c r="G12" s="7">
        <v>0</v>
      </c>
    </row>
    <row r="13" spans="1:7" x14ac:dyDescent="0.25">
      <c r="A13" s="13"/>
      <c r="B13" s="13"/>
      <c r="C13" s="10">
        <v>11</v>
      </c>
      <c r="D13" s="10" t="s">
        <v>18</v>
      </c>
      <c r="E13" s="7">
        <v>0</v>
      </c>
      <c r="F13" s="7">
        <v>0</v>
      </c>
      <c r="G13" s="7">
        <v>0</v>
      </c>
    </row>
    <row r="14" spans="1:7" x14ac:dyDescent="0.25">
      <c r="A14" s="13"/>
      <c r="B14" s="13"/>
      <c r="C14" s="10">
        <v>31</v>
      </c>
      <c r="D14" s="10" t="s">
        <v>38</v>
      </c>
      <c r="E14" s="7">
        <v>0</v>
      </c>
      <c r="F14" s="7">
        <v>0</v>
      </c>
      <c r="G14" s="7">
        <v>0</v>
      </c>
    </row>
  </sheetData>
  <mergeCells count="3">
    <mergeCell ref="A1:G1"/>
    <mergeCell ref="A3:G3"/>
    <mergeCell ref="A5:G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topLeftCell="A13" workbookViewId="0">
      <selection activeCell="F37" sqref="F3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.5703125" customWidth="1"/>
    <col min="5" max="7" width="25.28515625" style="147" customWidth="1"/>
    <col min="9" max="9" width="11.7109375" bestFit="1" customWidth="1"/>
  </cols>
  <sheetData>
    <row r="1" spans="1:11" ht="42" customHeight="1" x14ac:dyDescent="0.25">
      <c r="A1" s="186" t="s">
        <v>68</v>
      </c>
      <c r="B1" s="186"/>
      <c r="C1" s="186"/>
      <c r="D1" s="186"/>
      <c r="E1" s="186"/>
      <c r="F1" s="186"/>
      <c r="G1" s="186"/>
    </row>
    <row r="2" spans="1:11" ht="18" x14ac:dyDescent="0.25">
      <c r="A2" s="3"/>
      <c r="B2" s="3"/>
      <c r="C2" s="3"/>
      <c r="D2" s="3"/>
      <c r="E2" s="137"/>
      <c r="F2" s="138"/>
      <c r="G2" s="138"/>
    </row>
    <row r="3" spans="1:11" ht="18" customHeight="1" x14ac:dyDescent="0.25">
      <c r="A3" s="186" t="s">
        <v>30</v>
      </c>
      <c r="B3" s="187"/>
      <c r="C3" s="187"/>
      <c r="D3" s="187"/>
      <c r="E3" s="187"/>
      <c r="F3" s="187"/>
      <c r="G3" s="187"/>
    </row>
    <row r="4" spans="1:11" ht="18" x14ac:dyDescent="0.25">
      <c r="A4" s="3"/>
      <c r="B4" s="3"/>
      <c r="C4" s="3"/>
      <c r="D4" s="3"/>
      <c r="E4" s="137"/>
      <c r="F4" s="138"/>
      <c r="G4" s="138"/>
    </row>
    <row r="5" spans="1:11" ht="25.5" x14ac:dyDescent="0.25">
      <c r="A5" s="223" t="s">
        <v>32</v>
      </c>
      <c r="B5" s="224"/>
      <c r="C5" s="225"/>
      <c r="D5" s="17" t="s">
        <v>33</v>
      </c>
      <c r="E5" s="139" t="s">
        <v>45</v>
      </c>
      <c r="F5" s="139" t="s">
        <v>46</v>
      </c>
      <c r="G5" s="139" t="s">
        <v>47</v>
      </c>
    </row>
    <row r="6" spans="1:11" ht="27.75" customHeight="1" x14ac:dyDescent="0.25">
      <c r="A6" s="223" t="s">
        <v>121</v>
      </c>
      <c r="B6" s="229"/>
      <c r="C6" s="230"/>
      <c r="D6" s="17" t="s">
        <v>122</v>
      </c>
      <c r="E6" s="139">
        <f>E7+E55</f>
        <v>2155677.8813524451</v>
      </c>
      <c r="F6" s="139">
        <f>F7+F55</f>
        <v>2245682.2619377528</v>
      </c>
      <c r="G6" s="139">
        <f>G7+G55</f>
        <v>2330316.2787935496</v>
      </c>
    </row>
    <row r="7" spans="1:11" ht="21" customHeight="1" x14ac:dyDescent="0.25">
      <c r="A7" s="226" t="s">
        <v>78</v>
      </c>
      <c r="B7" s="227"/>
      <c r="C7" s="228"/>
      <c r="D7" s="109" t="s">
        <v>60</v>
      </c>
      <c r="E7" s="140">
        <f>E8+E12+E15+E19+E26+E45</f>
        <v>1940725.0650434664</v>
      </c>
      <c r="F7" s="140">
        <f t="shared" ref="F7:G7" si="0">F8+F12+F15+F19+F26+F45</f>
        <v>2024132.7231495122</v>
      </c>
      <c r="G7" s="140">
        <f t="shared" si="0"/>
        <v>2105758.5775525915</v>
      </c>
    </row>
    <row r="8" spans="1:11" ht="25.5" customHeight="1" x14ac:dyDescent="0.25">
      <c r="A8" s="214" t="s">
        <v>61</v>
      </c>
      <c r="B8" s="215"/>
      <c r="C8" s="216"/>
      <c r="D8" s="106" t="s">
        <v>107</v>
      </c>
      <c r="E8" s="141">
        <f>1302747/7.5345</f>
        <v>172904.24049372884</v>
      </c>
      <c r="F8" s="141">
        <f>1319118/7.5345</f>
        <v>175077.04559028469</v>
      </c>
      <c r="G8" s="141">
        <f>1331453/7.5345</f>
        <v>176714.18143207909</v>
      </c>
      <c r="I8" s="72"/>
    </row>
    <row r="9" spans="1:11" ht="15" customHeight="1" x14ac:dyDescent="0.25">
      <c r="A9" s="211">
        <v>11</v>
      </c>
      <c r="B9" s="212"/>
      <c r="C9" s="213"/>
      <c r="D9" s="32" t="s">
        <v>18</v>
      </c>
      <c r="E9" s="128">
        <f t="shared" ref="E9:E11" si="1">1302747/7.5345</f>
        <v>172904.24049372884</v>
      </c>
      <c r="F9" s="128">
        <f t="shared" ref="F9:F11" si="2">1319118/7.5345</f>
        <v>175077.04559028469</v>
      </c>
      <c r="G9" s="148">
        <f t="shared" ref="G9:G11" si="3">1331453/7.5345</f>
        <v>176714.18143207909</v>
      </c>
      <c r="H9" s="72"/>
      <c r="I9" s="147"/>
    </row>
    <row r="10" spans="1:11" x14ac:dyDescent="0.25">
      <c r="A10" s="92">
        <v>3</v>
      </c>
      <c r="B10" s="35"/>
      <c r="C10" s="36"/>
      <c r="D10" s="31" t="s">
        <v>21</v>
      </c>
      <c r="E10" s="128">
        <f t="shared" si="1"/>
        <v>172904.24049372884</v>
      </c>
      <c r="F10" s="128">
        <f t="shared" si="2"/>
        <v>175077.04559028469</v>
      </c>
      <c r="G10" s="148">
        <f t="shared" si="3"/>
        <v>176714.18143207909</v>
      </c>
      <c r="I10" s="72"/>
    </row>
    <row r="11" spans="1:11" x14ac:dyDescent="0.25">
      <c r="A11" s="92"/>
      <c r="B11" s="35">
        <v>32</v>
      </c>
      <c r="C11" s="36"/>
      <c r="D11" s="31" t="s">
        <v>34</v>
      </c>
      <c r="E11" s="128">
        <f t="shared" si="1"/>
        <v>172904.24049372884</v>
      </c>
      <c r="F11" s="128">
        <f t="shared" si="2"/>
        <v>175077.04559028469</v>
      </c>
      <c r="G11" s="148">
        <f t="shared" si="3"/>
        <v>176714.18143207909</v>
      </c>
      <c r="H11" s="72"/>
      <c r="I11" s="72"/>
      <c r="J11" s="72"/>
    </row>
    <row r="12" spans="1:11" ht="25.5" x14ac:dyDescent="0.25">
      <c r="A12" s="214" t="s">
        <v>62</v>
      </c>
      <c r="B12" s="231"/>
      <c r="C12" s="232"/>
      <c r="D12" s="106" t="s">
        <v>108</v>
      </c>
      <c r="E12" s="141">
        <v>530.89</v>
      </c>
      <c r="F12" s="141">
        <v>530.89</v>
      </c>
      <c r="G12" s="141">
        <v>530.89</v>
      </c>
      <c r="I12" s="147"/>
      <c r="J12" s="72"/>
    </row>
    <row r="13" spans="1:11" x14ac:dyDescent="0.25">
      <c r="A13" s="95">
        <v>11</v>
      </c>
      <c r="B13" s="86"/>
      <c r="C13" s="87"/>
      <c r="D13" s="85" t="s">
        <v>18</v>
      </c>
      <c r="E13" s="142">
        <v>530.89</v>
      </c>
      <c r="F13" s="142">
        <v>530.89</v>
      </c>
      <c r="G13" s="142">
        <v>530.89</v>
      </c>
      <c r="I13" s="72"/>
      <c r="J13" s="72"/>
      <c r="K13" s="72"/>
    </row>
    <row r="14" spans="1:11" x14ac:dyDescent="0.25">
      <c r="A14" s="92"/>
      <c r="B14" s="104">
        <v>34</v>
      </c>
      <c r="C14" s="87"/>
      <c r="D14" s="85" t="s">
        <v>63</v>
      </c>
      <c r="E14" s="129">
        <f>4000/7.53454</f>
        <v>530.88841521844734</v>
      </c>
      <c r="F14" s="129">
        <v>530.89</v>
      </c>
      <c r="G14" s="129">
        <v>530.89</v>
      </c>
      <c r="I14" s="72"/>
      <c r="J14" s="72"/>
      <c r="K14" s="72"/>
    </row>
    <row r="15" spans="1:11" ht="16.5" customHeight="1" x14ac:dyDescent="0.25">
      <c r="A15" s="214" t="s">
        <v>119</v>
      </c>
      <c r="B15" s="215"/>
      <c r="C15" s="216"/>
      <c r="D15" s="108" t="s">
        <v>109</v>
      </c>
      <c r="E15" s="141">
        <f>80000/7.5345</f>
        <v>10617.824673170084</v>
      </c>
      <c r="F15" s="141">
        <f t="shared" ref="F15:G18" si="4">80000/7.5345</f>
        <v>10617.824673170084</v>
      </c>
      <c r="G15" s="141">
        <f t="shared" si="4"/>
        <v>10617.824673170084</v>
      </c>
      <c r="I15" s="72"/>
    </row>
    <row r="16" spans="1:11" ht="16.5" customHeight="1" x14ac:dyDescent="0.25">
      <c r="A16" s="211">
        <v>11</v>
      </c>
      <c r="B16" s="212"/>
      <c r="C16" s="213"/>
      <c r="D16" s="34" t="s">
        <v>64</v>
      </c>
      <c r="E16" s="128">
        <f t="shared" ref="E16:E18" si="5">80000/7.5345</f>
        <v>10617.824673170084</v>
      </c>
      <c r="F16" s="128">
        <f t="shared" si="4"/>
        <v>10617.824673170084</v>
      </c>
      <c r="G16" s="128">
        <f t="shared" si="4"/>
        <v>10617.824673170084</v>
      </c>
      <c r="I16" s="72"/>
      <c r="J16" s="72"/>
    </row>
    <row r="17" spans="1:10" ht="27" customHeight="1" x14ac:dyDescent="0.25">
      <c r="A17" s="92">
        <v>4</v>
      </c>
      <c r="B17" s="35"/>
      <c r="C17" s="36"/>
      <c r="D17" s="33" t="s">
        <v>23</v>
      </c>
      <c r="E17" s="128">
        <f t="shared" si="5"/>
        <v>10617.824673170084</v>
      </c>
      <c r="F17" s="128">
        <f t="shared" si="4"/>
        <v>10617.824673170084</v>
      </c>
      <c r="G17" s="128">
        <f t="shared" si="4"/>
        <v>10617.824673170084</v>
      </c>
      <c r="I17" s="72"/>
      <c r="J17" s="72"/>
    </row>
    <row r="18" spans="1:10" ht="26.25" customHeight="1" x14ac:dyDescent="0.25">
      <c r="A18" s="92"/>
      <c r="B18" s="35">
        <v>42</v>
      </c>
      <c r="C18" s="36"/>
      <c r="D18" s="38" t="s">
        <v>50</v>
      </c>
      <c r="E18" s="128">
        <f t="shared" si="5"/>
        <v>10617.824673170084</v>
      </c>
      <c r="F18" s="128">
        <f t="shared" si="4"/>
        <v>10617.824673170084</v>
      </c>
      <c r="G18" s="128">
        <f t="shared" si="4"/>
        <v>10617.824673170084</v>
      </c>
      <c r="H18" s="126"/>
      <c r="I18" s="53"/>
      <c r="J18" s="147"/>
    </row>
    <row r="19" spans="1:10" ht="27.75" customHeight="1" x14ac:dyDescent="0.25">
      <c r="A19" s="214" t="s">
        <v>115</v>
      </c>
      <c r="B19" s="215"/>
      <c r="C19" s="216"/>
      <c r="D19" s="106" t="s">
        <v>114</v>
      </c>
      <c r="E19" s="141">
        <f>E20+E24</f>
        <v>1693461.5451410178</v>
      </c>
      <c r="F19" s="141">
        <f>F20+F24</f>
        <v>1776109.8960601233</v>
      </c>
      <c r="G19" s="141">
        <f>G20+G24</f>
        <v>1858753.0707897006</v>
      </c>
    </row>
    <row r="20" spans="1:10" x14ac:dyDescent="0.25">
      <c r="A20" s="211">
        <v>57</v>
      </c>
      <c r="B20" s="212"/>
      <c r="C20" s="213"/>
      <c r="D20" s="74" t="s">
        <v>76</v>
      </c>
      <c r="E20" s="142">
        <f>E21</f>
        <v>1693063.3751410178</v>
      </c>
      <c r="F20" s="142">
        <f>F21</f>
        <v>1775711.7260601234</v>
      </c>
      <c r="G20" s="142">
        <f>G21</f>
        <v>1858354.9007897007</v>
      </c>
      <c r="I20" s="72"/>
    </row>
    <row r="21" spans="1:10" x14ac:dyDescent="0.25">
      <c r="A21" s="92">
        <v>3</v>
      </c>
      <c r="B21" s="35"/>
      <c r="C21" s="36"/>
      <c r="D21" s="74" t="s">
        <v>21</v>
      </c>
      <c r="E21" s="129">
        <f>E22+E23</f>
        <v>1693063.3751410178</v>
      </c>
      <c r="F21" s="129">
        <f>F22+F23</f>
        <v>1775711.7260601234</v>
      </c>
      <c r="G21" s="129">
        <f>G22+G23</f>
        <v>1858354.9007897007</v>
      </c>
      <c r="I21" s="72"/>
    </row>
    <row r="22" spans="1:10" x14ac:dyDescent="0.25">
      <c r="A22" s="73"/>
      <c r="B22" s="104">
        <v>31</v>
      </c>
      <c r="C22" s="75"/>
      <c r="D22" s="74" t="s">
        <v>106</v>
      </c>
      <c r="E22" s="129">
        <f>12453886/7.5345</f>
        <v>1652914.7255955935</v>
      </c>
      <c r="F22" s="129">
        <f>13076600/7.5345</f>
        <v>1735563.076514699</v>
      </c>
      <c r="G22" s="129">
        <f>13699275/7.5345</f>
        <v>1818206.2512442763</v>
      </c>
    </row>
    <row r="23" spans="1:10" x14ac:dyDescent="0.25">
      <c r="A23" s="73"/>
      <c r="B23" s="104">
        <v>32</v>
      </c>
      <c r="C23" s="75"/>
      <c r="D23" s="74" t="s">
        <v>117</v>
      </c>
      <c r="E23" s="129">
        <f>302500/7.5345</f>
        <v>40148.649545424378</v>
      </c>
      <c r="F23" s="129">
        <f>302500/7.5345</f>
        <v>40148.649545424378</v>
      </c>
      <c r="G23" s="129">
        <f t="shared" ref="G23" si="6">302500/7.5345</f>
        <v>40148.649545424378</v>
      </c>
    </row>
    <row r="24" spans="1:10" x14ac:dyDescent="0.25">
      <c r="A24" s="95">
        <v>6103</v>
      </c>
      <c r="B24" s="79"/>
      <c r="C24" s="78"/>
      <c r="D24" s="85" t="s">
        <v>88</v>
      </c>
      <c r="E24" s="142">
        <v>398.17</v>
      </c>
      <c r="F24" s="142">
        <v>398.17</v>
      </c>
      <c r="G24" s="142">
        <v>398.17</v>
      </c>
    </row>
    <row r="25" spans="1:10" x14ac:dyDescent="0.25">
      <c r="A25" s="77"/>
      <c r="B25" s="104">
        <v>31</v>
      </c>
      <c r="C25" s="78"/>
      <c r="D25" s="85" t="s">
        <v>106</v>
      </c>
      <c r="E25" s="129">
        <f>3000/7.5345</f>
        <v>398.16842524387812</v>
      </c>
      <c r="F25" s="129">
        <f>3000/7.5345</f>
        <v>398.16842524387812</v>
      </c>
      <c r="G25" s="129">
        <f t="shared" ref="G25" si="7">3000/7.5345</f>
        <v>398.16842524387812</v>
      </c>
    </row>
    <row r="26" spans="1:10" ht="25.5" x14ac:dyDescent="0.25">
      <c r="A26" s="214" t="s">
        <v>110</v>
      </c>
      <c r="B26" s="215"/>
      <c r="C26" s="216"/>
      <c r="D26" s="106" t="s">
        <v>113</v>
      </c>
      <c r="E26" s="141">
        <f>E27+E31+E35+E39+E42</f>
        <v>42638.529431282761</v>
      </c>
      <c r="F26" s="141">
        <f>F27+F31+F35+F39+F42</f>
        <v>42684.982414227881</v>
      </c>
      <c r="G26" s="141">
        <f>G27+G31+G35+G39+G42</f>
        <v>42154.091180569376</v>
      </c>
    </row>
    <row r="27" spans="1:10" x14ac:dyDescent="0.25">
      <c r="A27" s="95">
        <v>31</v>
      </c>
      <c r="B27" s="79"/>
      <c r="C27" s="80"/>
      <c r="D27" s="85" t="s">
        <v>38</v>
      </c>
      <c r="E27" s="142">
        <f>19410/7.5345</f>
        <v>2576.1497113278915</v>
      </c>
      <c r="F27" s="142">
        <f>F29+F30</f>
        <v>2735.417081425443</v>
      </c>
      <c r="G27" s="142">
        <f>20610/7.5345</f>
        <v>2735.417081425443</v>
      </c>
    </row>
    <row r="28" spans="1:10" x14ac:dyDescent="0.25">
      <c r="A28" s="93">
        <v>3</v>
      </c>
      <c r="B28" s="79"/>
      <c r="C28" s="80"/>
      <c r="D28" s="85" t="s">
        <v>21</v>
      </c>
      <c r="E28" s="129">
        <f>19410/7.5345</f>
        <v>2576.1497113278915</v>
      </c>
      <c r="F28" s="142">
        <f>20610/7.5345</f>
        <v>2735.417081425443</v>
      </c>
      <c r="G28" s="142">
        <f>20610/7.5345</f>
        <v>2735.417081425443</v>
      </c>
      <c r="J28" s="147"/>
    </row>
    <row r="29" spans="1:10" x14ac:dyDescent="0.25">
      <c r="A29" s="95"/>
      <c r="B29" s="35">
        <v>32</v>
      </c>
      <c r="C29" s="36"/>
      <c r="D29" s="85" t="s">
        <v>117</v>
      </c>
      <c r="E29" s="129">
        <f>17410/7.5345</f>
        <v>2310.7040944986393</v>
      </c>
      <c r="F29" s="129">
        <f>18610/7.5345</f>
        <v>2469.9714645961908</v>
      </c>
      <c r="G29" s="143">
        <f>18610/7.5345</f>
        <v>2469.9714645961908</v>
      </c>
    </row>
    <row r="30" spans="1:10" ht="38.25" x14ac:dyDescent="0.25">
      <c r="A30" s="95"/>
      <c r="B30" s="35">
        <v>37</v>
      </c>
      <c r="C30" s="36"/>
      <c r="D30" s="85" t="s">
        <v>57</v>
      </c>
      <c r="E30" s="129">
        <f>2000/7.5345</f>
        <v>265.44561682925212</v>
      </c>
      <c r="F30" s="129">
        <f>2000/7.5345</f>
        <v>265.44561682925212</v>
      </c>
      <c r="G30" s="129">
        <f t="shared" ref="G30" si="8">2000/7.5345</f>
        <v>265.44561682925212</v>
      </c>
    </row>
    <row r="31" spans="1:10" x14ac:dyDescent="0.25">
      <c r="A31" s="95">
        <v>41</v>
      </c>
      <c r="B31" s="79"/>
      <c r="C31" s="80"/>
      <c r="D31" s="85" t="s">
        <v>84</v>
      </c>
      <c r="E31" s="142">
        <f>5000/7.5345</f>
        <v>663.61404207313024</v>
      </c>
      <c r="F31" s="142">
        <f t="shared" ref="F31:G31" si="9">5000/7.5345</f>
        <v>663.61404207313024</v>
      </c>
      <c r="G31" s="142">
        <f t="shared" si="9"/>
        <v>663.61404207313024</v>
      </c>
    </row>
    <row r="32" spans="1:10" x14ac:dyDescent="0.25">
      <c r="A32" s="93">
        <v>3</v>
      </c>
      <c r="B32" s="79"/>
      <c r="C32" s="80"/>
      <c r="D32" s="85" t="s">
        <v>21</v>
      </c>
      <c r="E32" s="129">
        <f>E33+E34</f>
        <v>663.61404207313024</v>
      </c>
      <c r="F32" s="129">
        <f t="shared" ref="F32:G32" si="10">F33+F34</f>
        <v>663.61404207313024</v>
      </c>
      <c r="G32" s="129">
        <f t="shared" si="10"/>
        <v>663.61404207313024</v>
      </c>
    </row>
    <row r="33" spans="1:7" x14ac:dyDescent="0.25">
      <c r="A33" s="95"/>
      <c r="B33" s="104">
        <v>32</v>
      </c>
      <c r="C33" s="80"/>
      <c r="D33" s="85" t="s">
        <v>34</v>
      </c>
      <c r="E33" s="129">
        <f>2000/7.5345</f>
        <v>265.44561682925212</v>
      </c>
      <c r="F33" s="129">
        <f t="shared" ref="F33:G33" si="11">2000/7.5345</f>
        <v>265.44561682925212</v>
      </c>
      <c r="G33" s="129">
        <f t="shared" si="11"/>
        <v>265.44561682925212</v>
      </c>
    </row>
    <row r="34" spans="1:7" ht="38.25" x14ac:dyDescent="0.25">
      <c r="A34" s="95"/>
      <c r="B34" s="104">
        <v>37</v>
      </c>
      <c r="C34" s="80"/>
      <c r="D34" s="85" t="s">
        <v>57</v>
      </c>
      <c r="E34" s="129">
        <f>3000/7.5345</f>
        <v>398.16842524387812</v>
      </c>
      <c r="F34" s="129">
        <f t="shared" ref="F34:G34" si="12">3000/7.5345</f>
        <v>398.16842524387812</v>
      </c>
      <c r="G34" s="129">
        <f t="shared" si="12"/>
        <v>398.16842524387812</v>
      </c>
    </row>
    <row r="35" spans="1:7" x14ac:dyDescent="0.25">
      <c r="A35" s="211">
        <v>57</v>
      </c>
      <c r="B35" s="212"/>
      <c r="C35" s="213"/>
      <c r="D35" s="85" t="s">
        <v>76</v>
      </c>
      <c r="E35" s="142">
        <f>E37+E38</f>
        <v>38323.710929723267</v>
      </c>
      <c r="F35" s="142">
        <f>F37+F38</f>
        <v>38622.337248656178</v>
      </c>
      <c r="G35" s="142">
        <f t="shared" ref="G35" si="13">G37+G38</f>
        <v>38622.337248656178</v>
      </c>
    </row>
    <row r="36" spans="1:7" x14ac:dyDescent="0.25">
      <c r="A36" s="93">
        <v>3</v>
      </c>
      <c r="B36" s="102"/>
      <c r="C36" s="103"/>
      <c r="D36" s="85" t="s">
        <v>21</v>
      </c>
      <c r="E36" s="129">
        <f>E37+E38</f>
        <v>38323.710929723267</v>
      </c>
      <c r="F36" s="129">
        <f>F37+F38</f>
        <v>38622.337248656178</v>
      </c>
      <c r="G36" s="129">
        <f>G37+G38</f>
        <v>38622.337248656178</v>
      </c>
    </row>
    <row r="37" spans="1:7" x14ac:dyDescent="0.25">
      <c r="A37" s="83"/>
      <c r="B37" s="94">
        <v>32</v>
      </c>
      <c r="C37" s="85"/>
      <c r="D37" s="85" t="s">
        <v>34</v>
      </c>
      <c r="E37" s="129">
        <f>(10000+33750)/7.5345</f>
        <v>5806.6228681398898</v>
      </c>
      <c r="F37" s="129">
        <f>(10000+36000)/7.5345</f>
        <v>6105.2491870727981</v>
      </c>
      <c r="G37" s="129">
        <f>(10000+36000)/7.5345</f>
        <v>6105.2491870727981</v>
      </c>
    </row>
    <row r="38" spans="1:7" ht="38.25" x14ac:dyDescent="0.25">
      <c r="A38" s="76"/>
      <c r="B38" s="35">
        <v>37</v>
      </c>
      <c r="C38" s="78"/>
      <c r="D38" s="85" t="s">
        <v>57</v>
      </c>
      <c r="E38" s="129">
        <f>245000/7.5345</f>
        <v>32517.088061583381</v>
      </c>
      <c r="F38" s="129">
        <f>245000/7.5345</f>
        <v>32517.088061583381</v>
      </c>
      <c r="G38" s="129">
        <f t="shared" ref="F38:G38" si="14">245000/7.5345</f>
        <v>32517.088061583381</v>
      </c>
    </row>
    <row r="39" spans="1:7" x14ac:dyDescent="0.25">
      <c r="A39" s="95">
        <v>6103</v>
      </c>
      <c r="B39" s="84"/>
      <c r="C39" s="85"/>
      <c r="D39" s="85" t="s">
        <v>88</v>
      </c>
      <c r="E39" s="142">
        <f>900/7.5345</f>
        <v>119.45052757316344</v>
      </c>
      <c r="F39" s="142">
        <f>1000/7.5345</f>
        <v>132.72280841462606</v>
      </c>
      <c r="G39" s="144">
        <f>1000/7.5345</f>
        <v>132.72280841462606</v>
      </c>
    </row>
    <row r="40" spans="1:7" x14ac:dyDescent="0.25">
      <c r="A40" s="93">
        <v>3</v>
      </c>
      <c r="B40" s="84"/>
      <c r="C40" s="85"/>
      <c r="D40" s="85" t="s">
        <v>21</v>
      </c>
      <c r="E40" s="129">
        <f t="shared" ref="E40:E41" si="15">900/7.5345</f>
        <v>119.45052757316344</v>
      </c>
      <c r="F40" s="129">
        <f>1000/7.5345</f>
        <v>132.72280841462606</v>
      </c>
      <c r="G40" s="129">
        <v>132.72</v>
      </c>
    </row>
    <row r="41" spans="1:7" x14ac:dyDescent="0.25">
      <c r="A41" s="83"/>
      <c r="B41" s="94">
        <v>32</v>
      </c>
      <c r="C41" s="85"/>
      <c r="D41" s="85" t="s">
        <v>117</v>
      </c>
      <c r="E41" s="129">
        <f t="shared" si="15"/>
        <v>119.45052757316344</v>
      </c>
      <c r="F41" s="129">
        <f>1000/7.5345</f>
        <v>132.72280841462606</v>
      </c>
      <c r="G41" s="129">
        <f>1000/7.5345</f>
        <v>132.72280841462606</v>
      </c>
    </row>
    <row r="42" spans="1:7" x14ac:dyDescent="0.25">
      <c r="A42" s="115">
        <v>9231</v>
      </c>
      <c r="B42" s="116"/>
      <c r="C42" s="117"/>
      <c r="D42" s="118" t="s">
        <v>118</v>
      </c>
      <c r="E42" s="145">
        <f>7200/7.5345</f>
        <v>955.60422058530753</v>
      </c>
      <c r="F42" s="145">
        <f>4000/7.5345</f>
        <v>530.89123365850423</v>
      </c>
      <c r="G42" s="146">
        <v>0</v>
      </c>
    </row>
    <row r="43" spans="1:7" x14ac:dyDescent="0.25">
      <c r="A43" s="93">
        <v>3</v>
      </c>
      <c r="B43" s="94"/>
      <c r="C43" s="85"/>
      <c r="D43" s="38" t="s">
        <v>21</v>
      </c>
      <c r="E43" s="129">
        <f>7200/7.5345</f>
        <v>955.60422058530753</v>
      </c>
      <c r="F43" s="129">
        <f>4000/7.5345</f>
        <v>530.89123365850423</v>
      </c>
      <c r="G43" s="143">
        <v>0</v>
      </c>
    </row>
    <row r="44" spans="1:7" x14ac:dyDescent="0.25">
      <c r="A44" s="83"/>
      <c r="B44" s="94">
        <v>32</v>
      </c>
      <c r="C44" s="85"/>
      <c r="D44" s="38" t="s">
        <v>34</v>
      </c>
      <c r="E44" s="129">
        <f>7200/7.5345</f>
        <v>955.60422058530753</v>
      </c>
      <c r="F44" s="129">
        <f>4000/7.5345</f>
        <v>530.89123365850423</v>
      </c>
      <c r="G44" s="143">
        <v>0</v>
      </c>
    </row>
    <row r="45" spans="1:7" ht="26.25" customHeight="1" x14ac:dyDescent="0.25">
      <c r="A45" s="214" t="s">
        <v>111</v>
      </c>
      <c r="B45" s="215"/>
      <c r="C45" s="216"/>
      <c r="D45" s="107" t="s">
        <v>112</v>
      </c>
      <c r="E45" s="141">
        <f>E46+E49+E52</f>
        <v>20572.035304267036</v>
      </c>
      <c r="F45" s="141">
        <f>F46+F49+F52</f>
        <v>19112.084411706153</v>
      </c>
      <c r="G45" s="141">
        <f>G46+G49+G52</f>
        <v>16988.519477072135</v>
      </c>
    </row>
    <row r="46" spans="1:7" ht="26.25" customHeight="1" x14ac:dyDescent="0.25">
      <c r="A46" s="96">
        <v>31</v>
      </c>
      <c r="B46" s="35"/>
      <c r="C46" s="36"/>
      <c r="D46" s="38" t="s">
        <v>79</v>
      </c>
      <c r="E46" s="142">
        <f>68200/7.5345</f>
        <v>9051.6955338774969</v>
      </c>
      <c r="F46" s="142">
        <f>70000/7.5345</f>
        <v>9290.596589023824</v>
      </c>
      <c r="G46" s="142">
        <f>70000/7.5345</f>
        <v>9290.596589023824</v>
      </c>
    </row>
    <row r="47" spans="1:7" ht="26.25" customHeight="1" x14ac:dyDescent="0.25">
      <c r="A47" s="100">
        <v>4</v>
      </c>
      <c r="B47" s="35"/>
      <c r="C47" s="36"/>
      <c r="D47" s="38" t="s">
        <v>23</v>
      </c>
      <c r="E47" s="129">
        <f t="shared" ref="E47:E48" si="16">68200/7.5345</f>
        <v>9051.6955338774969</v>
      </c>
      <c r="F47" s="129">
        <f t="shared" ref="F47:G48" si="17">70000/7.5345</f>
        <v>9290.596589023824</v>
      </c>
      <c r="G47" s="129">
        <f t="shared" si="17"/>
        <v>9290.596589023824</v>
      </c>
    </row>
    <row r="48" spans="1:7" ht="26.25" customHeight="1" x14ac:dyDescent="0.25">
      <c r="A48" s="37"/>
      <c r="B48" s="35">
        <v>42</v>
      </c>
      <c r="C48" s="36"/>
      <c r="D48" s="38" t="s">
        <v>50</v>
      </c>
      <c r="E48" s="129">
        <f t="shared" si="16"/>
        <v>9051.6955338774969</v>
      </c>
      <c r="F48" s="129">
        <f t="shared" si="17"/>
        <v>9290.596589023824</v>
      </c>
      <c r="G48" s="129">
        <f t="shared" si="17"/>
        <v>9290.596589023824</v>
      </c>
    </row>
    <row r="49" spans="1:7" ht="18" customHeight="1" x14ac:dyDescent="0.25">
      <c r="A49" s="96">
        <v>57</v>
      </c>
      <c r="B49" s="35"/>
      <c r="C49" s="36"/>
      <c r="D49" s="38" t="s">
        <v>76</v>
      </c>
      <c r="E49" s="142">
        <f>58000/7.5345</f>
        <v>7697.9228880483106</v>
      </c>
      <c r="F49" s="142">
        <f>58000/7.5345</f>
        <v>7697.9228880483106</v>
      </c>
      <c r="G49" s="142">
        <f t="shared" ref="G49" si="18">58000/7.5345</f>
        <v>7697.9228880483106</v>
      </c>
    </row>
    <row r="50" spans="1:7" ht="27.75" customHeight="1" x14ac:dyDescent="0.25">
      <c r="A50" s="100">
        <v>4</v>
      </c>
      <c r="B50" s="35"/>
      <c r="C50" s="36"/>
      <c r="D50" s="38" t="s">
        <v>23</v>
      </c>
      <c r="E50" s="129">
        <f t="shared" ref="E50:G51" si="19">58000/7.5345</f>
        <v>7697.9228880483106</v>
      </c>
      <c r="F50" s="129">
        <f t="shared" si="19"/>
        <v>7697.9228880483106</v>
      </c>
      <c r="G50" s="129">
        <f t="shared" si="19"/>
        <v>7697.9228880483106</v>
      </c>
    </row>
    <row r="51" spans="1:7" ht="24.75" customHeight="1" x14ac:dyDescent="0.25">
      <c r="A51" s="37"/>
      <c r="B51" s="35">
        <v>42</v>
      </c>
      <c r="C51" s="36"/>
      <c r="D51" s="38" t="s">
        <v>50</v>
      </c>
      <c r="E51" s="129">
        <f t="shared" si="19"/>
        <v>7697.9228880483106</v>
      </c>
      <c r="F51" s="129">
        <f t="shared" si="19"/>
        <v>7697.9228880483106</v>
      </c>
      <c r="G51" s="129">
        <f t="shared" si="19"/>
        <v>7697.9228880483106</v>
      </c>
    </row>
    <row r="52" spans="1:7" ht="20.25" customHeight="1" x14ac:dyDescent="0.25">
      <c r="A52" s="119">
        <v>9231</v>
      </c>
      <c r="B52" s="120"/>
      <c r="C52" s="121"/>
      <c r="D52" s="118" t="s">
        <v>118</v>
      </c>
      <c r="E52" s="145">
        <f>28800/7.5345</f>
        <v>3822.4168823412301</v>
      </c>
      <c r="F52" s="145">
        <f>16000/7.5345</f>
        <v>2123.5649346340169</v>
      </c>
      <c r="G52" s="145">
        <v>0</v>
      </c>
    </row>
    <row r="53" spans="1:7" ht="27" customHeight="1" x14ac:dyDescent="0.25">
      <c r="A53" s="105">
        <v>4</v>
      </c>
      <c r="B53" s="35"/>
      <c r="C53" s="36"/>
      <c r="D53" s="38" t="s">
        <v>23</v>
      </c>
      <c r="E53" s="128">
        <f t="shared" ref="E53" si="20">28800/7.5345</f>
        <v>3822.4168823412301</v>
      </c>
      <c r="F53" s="128">
        <f>16000/7.5345</f>
        <v>2123.5649346340169</v>
      </c>
      <c r="G53" s="129">
        <v>0</v>
      </c>
    </row>
    <row r="54" spans="1:7" ht="26.25" customHeight="1" x14ac:dyDescent="0.25">
      <c r="A54" s="101"/>
      <c r="B54" s="35">
        <v>42</v>
      </c>
      <c r="C54" s="36"/>
      <c r="D54" s="38" t="s">
        <v>50</v>
      </c>
      <c r="E54" s="128">
        <f>28800/7.5345</f>
        <v>3822.4168823412301</v>
      </c>
      <c r="F54" s="128">
        <f t="shared" ref="F54" si="21">16000/7.5345</f>
        <v>2123.5649346340169</v>
      </c>
      <c r="G54" s="129">
        <v>0</v>
      </c>
    </row>
    <row r="55" spans="1:7" ht="33" customHeight="1" x14ac:dyDescent="0.25">
      <c r="A55" s="226" t="s">
        <v>116</v>
      </c>
      <c r="B55" s="227"/>
      <c r="C55" s="228"/>
      <c r="D55" s="109" t="s">
        <v>54</v>
      </c>
      <c r="E55" s="134">
        <f>E56+E61+E65+E71+E80</f>
        <v>214952.81630897868</v>
      </c>
      <c r="F55" s="134">
        <f>F56+F61+F65+F71+F80</f>
        <v>221549.53878824072</v>
      </c>
      <c r="G55" s="134">
        <f>G56+G61+G65+G71+G80</f>
        <v>224557.70124095824</v>
      </c>
    </row>
    <row r="56" spans="1:7" ht="15" customHeight="1" x14ac:dyDescent="0.25">
      <c r="A56" s="214" t="s">
        <v>58</v>
      </c>
      <c r="B56" s="215"/>
      <c r="C56" s="216"/>
      <c r="D56" s="106" t="s">
        <v>55</v>
      </c>
      <c r="E56" s="141">
        <f>E57</f>
        <v>62021.36837215475</v>
      </c>
      <c r="F56" s="141">
        <f>F58</f>
        <v>65029.53082487225</v>
      </c>
      <c r="G56" s="141">
        <f>G58</f>
        <v>68037.693277589759</v>
      </c>
    </row>
    <row r="57" spans="1:7" x14ac:dyDescent="0.25">
      <c r="A57" s="211">
        <v>11</v>
      </c>
      <c r="B57" s="212"/>
      <c r="C57" s="213"/>
      <c r="D57" s="85" t="s">
        <v>18</v>
      </c>
      <c r="E57" s="142">
        <f>467300/7.5345</f>
        <v>62021.36837215475</v>
      </c>
      <c r="F57" s="129">
        <f>F58</f>
        <v>65029.53082487225</v>
      </c>
      <c r="G57" s="143">
        <f>G58</f>
        <v>68037.693277589759</v>
      </c>
    </row>
    <row r="58" spans="1:7" x14ac:dyDescent="0.25">
      <c r="A58" s="92">
        <v>3</v>
      </c>
      <c r="B58" s="35"/>
      <c r="C58" s="36"/>
      <c r="D58" s="85" t="s">
        <v>21</v>
      </c>
      <c r="E58" s="129">
        <f>E59+E60</f>
        <v>62021.36837215475</v>
      </c>
      <c r="F58" s="129">
        <f>F59+F60</f>
        <v>65029.53082487225</v>
      </c>
      <c r="G58" s="143">
        <f>G59+G60</f>
        <v>68037.693277589759</v>
      </c>
    </row>
    <row r="59" spans="1:7" ht="15" customHeight="1" x14ac:dyDescent="0.25">
      <c r="A59" s="92"/>
      <c r="B59" s="35">
        <v>31</v>
      </c>
      <c r="C59" s="36"/>
      <c r="D59" s="85" t="s">
        <v>22</v>
      </c>
      <c r="E59" s="129">
        <f>453300/7.5345</f>
        <v>60163.249054349988</v>
      </c>
      <c r="F59" s="129">
        <f>475965/7.5345</f>
        <v>63171.411507067489</v>
      </c>
      <c r="G59" s="129">
        <f>498630/7.5345</f>
        <v>66179.57395978499</v>
      </c>
    </row>
    <row r="60" spans="1:7" x14ac:dyDescent="0.25">
      <c r="A60" s="92"/>
      <c r="B60" s="35">
        <v>32</v>
      </c>
      <c r="C60" s="36"/>
      <c r="D60" s="85" t="s">
        <v>34</v>
      </c>
      <c r="E60" s="129">
        <f>14000/7.5345</f>
        <v>1858.1193178047647</v>
      </c>
      <c r="F60" s="129">
        <f t="shared" ref="F60:G60" si="22">14000/7.5345</f>
        <v>1858.1193178047647</v>
      </c>
      <c r="G60" s="129">
        <f t="shared" si="22"/>
        <v>1858.1193178047647</v>
      </c>
    </row>
    <row r="61" spans="1:7" ht="25.5" x14ac:dyDescent="0.25">
      <c r="A61" s="214" t="s">
        <v>59</v>
      </c>
      <c r="B61" s="215"/>
      <c r="C61" s="216"/>
      <c r="D61" s="108" t="s">
        <v>56</v>
      </c>
      <c r="E61" s="141">
        <f>E62</f>
        <v>41144.070608534072</v>
      </c>
      <c r="F61" s="141">
        <f t="shared" ref="F61:G61" si="23">F62</f>
        <v>42471.298692680335</v>
      </c>
      <c r="G61" s="141">
        <f t="shared" si="23"/>
        <v>42471.298692680335</v>
      </c>
    </row>
    <row r="62" spans="1:7" x14ac:dyDescent="0.25">
      <c r="A62" s="211">
        <v>11</v>
      </c>
      <c r="B62" s="212"/>
      <c r="C62" s="213"/>
      <c r="D62" s="34" t="s">
        <v>18</v>
      </c>
      <c r="E62" s="129">
        <f>E63</f>
        <v>41144.070608534072</v>
      </c>
      <c r="F62" s="129">
        <f t="shared" ref="F62:G62" si="24">F63</f>
        <v>42471.298692680335</v>
      </c>
      <c r="G62" s="129">
        <f t="shared" si="24"/>
        <v>42471.298692680335</v>
      </c>
    </row>
    <row r="63" spans="1:7" x14ac:dyDescent="0.25">
      <c r="A63" s="92">
        <v>3</v>
      </c>
      <c r="B63" s="35"/>
      <c r="C63" s="36"/>
      <c r="D63" s="33" t="s">
        <v>21</v>
      </c>
      <c r="E63" s="129">
        <f>310000/7.5345</f>
        <v>41144.070608534072</v>
      </c>
      <c r="F63" s="128">
        <f>320000/7.5345</f>
        <v>42471.298692680335</v>
      </c>
      <c r="G63" s="128">
        <f>320000/7.5345</f>
        <v>42471.298692680335</v>
      </c>
    </row>
    <row r="64" spans="1:7" ht="38.25" x14ac:dyDescent="0.25">
      <c r="A64" s="100"/>
      <c r="B64" s="35">
        <v>37</v>
      </c>
      <c r="C64" s="36"/>
      <c r="D64" s="38" t="s">
        <v>57</v>
      </c>
      <c r="E64" s="129">
        <f>310000/7.5345</f>
        <v>41144.070608534072</v>
      </c>
      <c r="F64" s="128">
        <f>320000/7.5345</f>
        <v>42471.298692680335</v>
      </c>
      <c r="G64" s="128">
        <f>320000/7.5345</f>
        <v>42471.298692680335</v>
      </c>
    </row>
    <row r="65" spans="1:7" ht="25.5" x14ac:dyDescent="0.25">
      <c r="A65" s="217" t="s">
        <v>70</v>
      </c>
      <c r="B65" s="218"/>
      <c r="C65" s="219"/>
      <c r="D65" s="107" t="s">
        <v>71</v>
      </c>
      <c r="E65" s="141">
        <f>E66+E68</f>
        <v>25220.253500564071</v>
      </c>
      <c r="F65" s="141">
        <f>F66+F68</f>
        <v>26544.56168292521</v>
      </c>
      <c r="G65" s="141">
        <f>G66+G68</f>
        <v>26544.56168292521</v>
      </c>
    </row>
    <row r="66" spans="1:7" x14ac:dyDescent="0.25">
      <c r="A66" s="96">
        <v>5402</v>
      </c>
      <c r="B66" s="45"/>
      <c r="C66" s="46"/>
      <c r="D66" s="110" t="s">
        <v>120</v>
      </c>
      <c r="E66" s="142">
        <f>E67</f>
        <v>24881.810339106774</v>
      </c>
      <c r="F66" s="142">
        <f>197000/7.5345</f>
        <v>26146.393257681331</v>
      </c>
      <c r="G66" s="142">
        <f>197000/7.5345</f>
        <v>26146.393257681331</v>
      </c>
    </row>
    <row r="67" spans="1:7" x14ac:dyDescent="0.25">
      <c r="A67" s="44"/>
      <c r="B67" s="50">
        <v>32</v>
      </c>
      <c r="C67" s="46"/>
      <c r="D67" s="38" t="s">
        <v>34</v>
      </c>
      <c r="E67" s="129">
        <f>(53500+133972)/7.5345</f>
        <v>24881.810339106774</v>
      </c>
      <c r="F67" s="129">
        <f>197000/7.5345</f>
        <v>26146.393257681331</v>
      </c>
      <c r="G67" s="129">
        <f>197000/7.5345</f>
        <v>26146.393257681331</v>
      </c>
    </row>
    <row r="68" spans="1:7" x14ac:dyDescent="0.25">
      <c r="A68" s="96">
        <v>57</v>
      </c>
      <c r="B68" s="45"/>
      <c r="C68" s="46"/>
      <c r="D68" s="38" t="s">
        <v>77</v>
      </c>
      <c r="E68" s="142">
        <f>2550/7.5345</f>
        <v>338.44316145729641</v>
      </c>
      <c r="F68" s="142">
        <f>3000/7.5345</f>
        <v>398.16842524387812</v>
      </c>
      <c r="G68" s="142">
        <f>3000/7.5345</f>
        <v>398.16842524387812</v>
      </c>
    </row>
    <row r="69" spans="1:7" x14ac:dyDescent="0.25">
      <c r="A69" s="100">
        <v>3</v>
      </c>
      <c r="B69" s="81"/>
      <c r="C69" s="82"/>
      <c r="D69" s="38" t="s">
        <v>21</v>
      </c>
      <c r="E69" s="129">
        <f t="shared" ref="E69" si="25">2550/7.5345</f>
        <v>338.44316145729641</v>
      </c>
      <c r="F69" s="129">
        <f t="shared" ref="F69:G70" si="26">3000/7.5345</f>
        <v>398.16842524387812</v>
      </c>
      <c r="G69" s="129">
        <f t="shared" si="26"/>
        <v>398.16842524387812</v>
      </c>
    </row>
    <row r="70" spans="1:7" x14ac:dyDescent="0.25">
      <c r="A70" s="97"/>
      <c r="B70" s="98">
        <v>32</v>
      </c>
      <c r="C70" s="99"/>
      <c r="D70" s="85" t="s">
        <v>34</v>
      </c>
      <c r="E70" s="129">
        <f>2550/7.5345</f>
        <v>338.44316145729641</v>
      </c>
      <c r="F70" s="129">
        <f t="shared" si="26"/>
        <v>398.16842524387812</v>
      </c>
      <c r="G70" s="129">
        <f t="shared" si="26"/>
        <v>398.16842524387812</v>
      </c>
    </row>
    <row r="71" spans="1:7" x14ac:dyDescent="0.25">
      <c r="A71" s="220" t="s">
        <v>72</v>
      </c>
      <c r="B71" s="221"/>
      <c r="C71" s="222"/>
      <c r="D71" s="106" t="s">
        <v>73</v>
      </c>
      <c r="E71" s="141">
        <f>E72+E76</f>
        <v>82585.439575287019</v>
      </c>
      <c r="F71" s="141">
        <f t="shared" ref="F71:G71" si="27">F72+F76</f>
        <v>83522.463335324166</v>
      </c>
      <c r="G71" s="141">
        <f t="shared" si="27"/>
        <v>83522.463335324166</v>
      </c>
    </row>
    <row r="72" spans="1:7" x14ac:dyDescent="0.25">
      <c r="A72" s="95">
        <v>11</v>
      </c>
      <c r="B72" s="90"/>
      <c r="C72" s="91"/>
      <c r="D72" s="85" t="s">
        <v>18</v>
      </c>
      <c r="E72" s="142">
        <v>12387.82</v>
      </c>
      <c r="F72" s="142">
        <f>F73</f>
        <v>12515.760833499236</v>
      </c>
      <c r="G72" s="142">
        <f>G73</f>
        <v>12515.760833499236</v>
      </c>
    </row>
    <row r="73" spans="1:7" x14ac:dyDescent="0.25">
      <c r="A73" s="92">
        <v>3</v>
      </c>
      <c r="B73" s="90"/>
      <c r="C73" s="91"/>
      <c r="D73" s="85" t="s">
        <v>21</v>
      </c>
      <c r="E73" s="129">
        <f>93336/7.5345</f>
        <v>12387.816046187536</v>
      </c>
      <c r="F73" s="129">
        <f>F74+F75</f>
        <v>12515.760833499236</v>
      </c>
      <c r="G73" s="129">
        <f>G74+G75</f>
        <v>12515.760833499236</v>
      </c>
    </row>
    <row r="74" spans="1:7" x14ac:dyDescent="0.25">
      <c r="A74" s="89"/>
      <c r="B74" s="35">
        <v>31</v>
      </c>
      <c r="C74" s="91"/>
      <c r="D74" s="85" t="s">
        <v>22</v>
      </c>
      <c r="E74" s="129">
        <f>86406/7.5345</f>
        <v>11468.046983874177</v>
      </c>
      <c r="F74" s="129">
        <f>87250/7.5345</f>
        <v>11580.065034176123</v>
      </c>
      <c r="G74" s="129">
        <f>87250/7.5345</f>
        <v>11580.065034176123</v>
      </c>
    </row>
    <row r="75" spans="1:7" x14ac:dyDescent="0.25">
      <c r="A75" s="89"/>
      <c r="B75" s="35">
        <v>32</v>
      </c>
      <c r="C75" s="91"/>
      <c r="D75" s="85" t="s">
        <v>34</v>
      </c>
      <c r="E75" s="129">
        <f>6930/7.5345</f>
        <v>919.76906231335852</v>
      </c>
      <c r="F75" s="129">
        <f>7050/7.5345</f>
        <v>935.69579932311365</v>
      </c>
      <c r="G75" s="143">
        <f>7050/7.5345</f>
        <v>935.69579932311365</v>
      </c>
    </row>
    <row r="76" spans="1:7" x14ac:dyDescent="0.25">
      <c r="A76" s="211">
        <v>5402</v>
      </c>
      <c r="B76" s="212"/>
      <c r="C76" s="213"/>
      <c r="D76" s="85" t="s">
        <v>120</v>
      </c>
      <c r="E76" s="142">
        <f>E77</f>
        <v>70197.619575287012</v>
      </c>
      <c r="F76" s="142">
        <f t="shared" ref="F76:G76" si="28">F77</f>
        <v>71006.702501824926</v>
      </c>
      <c r="G76" s="142">
        <f t="shared" si="28"/>
        <v>71006.702501824926</v>
      </c>
    </row>
    <row r="77" spans="1:7" x14ac:dyDescent="0.25">
      <c r="A77" s="49">
        <v>3</v>
      </c>
      <c r="B77" s="47"/>
      <c r="C77" s="48"/>
      <c r="D77" s="85" t="s">
        <v>21</v>
      </c>
      <c r="E77" s="129">
        <f>E78+E79</f>
        <v>70197.619575287012</v>
      </c>
      <c r="F77" s="129">
        <f t="shared" ref="F77:G77" si="29">F78+F79</f>
        <v>71006.702501824926</v>
      </c>
      <c r="G77" s="129">
        <f t="shared" si="29"/>
        <v>71006.702501824926</v>
      </c>
    </row>
    <row r="78" spans="1:7" x14ac:dyDescent="0.25">
      <c r="A78" s="49"/>
      <c r="B78" s="104">
        <v>31</v>
      </c>
      <c r="C78" s="48"/>
      <c r="D78" s="85" t="s">
        <v>22</v>
      </c>
      <c r="E78" s="129">
        <f>489634/7.5345</f>
        <v>64985.599575287008</v>
      </c>
      <c r="F78" s="129">
        <f>495000/7.5345</f>
        <v>65697.790165239887</v>
      </c>
      <c r="G78" s="143">
        <f>495000/7.5345</f>
        <v>65697.790165239887</v>
      </c>
    </row>
    <row r="79" spans="1:7" x14ac:dyDescent="0.25">
      <c r="A79" s="49"/>
      <c r="B79" s="104">
        <v>32</v>
      </c>
      <c r="C79" s="48"/>
      <c r="D79" s="85" t="s">
        <v>34</v>
      </c>
      <c r="E79" s="129">
        <v>5212.0200000000004</v>
      </c>
      <c r="F79" s="129">
        <f>40000/7.5345</f>
        <v>5308.9123365850419</v>
      </c>
      <c r="G79" s="143">
        <f>40000/7.5345</f>
        <v>5308.9123365850419</v>
      </c>
    </row>
    <row r="80" spans="1:7" x14ac:dyDescent="0.25">
      <c r="A80" s="214" t="s">
        <v>74</v>
      </c>
      <c r="B80" s="215"/>
      <c r="C80" s="216"/>
      <c r="D80" s="106" t="s">
        <v>75</v>
      </c>
      <c r="E80" s="141">
        <f>E81+E84</f>
        <v>3981.6842524387812</v>
      </c>
      <c r="F80" s="141">
        <f t="shared" ref="F80:G80" si="30">F81+F84</f>
        <v>3981.6842524387812</v>
      </c>
      <c r="G80" s="141">
        <f t="shared" si="30"/>
        <v>3981.6842524387812</v>
      </c>
    </row>
    <row r="81" spans="1:7" x14ac:dyDescent="0.25">
      <c r="A81" s="211">
        <v>11</v>
      </c>
      <c r="B81" s="212"/>
      <c r="C81" s="213"/>
      <c r="D81" s="85" t="s">
        <v>18</v>
      </c>
      <c r="E81" s="142">
        <f>29800/7.5345</f>
        <v>3955.139690755856</v>
      </c>
      <c r="F81" s="142">
        <f t="shared" ref="F81:G83" si="31">29800/7.5345</f>
        <v>3955.139690755856</v>
      </c>
      <c r="G81" s="142">
        <f t="shared" si="31"/>
        <v>3955.139690755856</v>
      </c>
    </row>
    <row r="82" spans="1:7" x14ac:dyDescent="0.25">
      <c r="A82" s="92">
        <v>3</v>
      </c>
      <c r="B82" s="40"/>
      <c r="C82" s="41"/>
      <c r="D82" s="85" t="s">
        <v>21</v>
      </c>
      <c r="E82" s="129">
        <f>29800/7.5345</f>
        <v>3955.139690755856</v>
      </c>
      <c r="F82" s="129">
        <f t="shared" si="31"/>
        <v>3955.139690755856</v>
      </c>
      <c r="G82" s="129">
        <f t="shared" si="31"/>
        <v>3955.139690755856</v>
      </c>
    </row>
    <row r="83" spans="1:7" x14ac:dyDescent="0.25">
      <c r="A83" s="88"/>
      <c r="B83" s="104">
        <v>31</v>
      </c>
      <c r="C83" s="41"/>
      <c r="D83" s="85" t="s">
        <v>22</v>
      </c>
      <c r="E83" s="129">
        <f>29800/7.5345</f>
        <v>3955.139690755856</v>
      </c>
      <c r="F83" s="129">
        <f t="shared" si="31"/>
        <v>3955.139690755856</v>
      </c>
      <c r="G83" s="129">
        <f t="shared" si="31"/>
        <v>3955.139690755856</v>
      </c>
    </row>
    <row r="84" spans="1:7" x14ac:dyDescent="0.25">
      <c r="A84" s="95">
        <v>57</v>
      </c>
      <c r="B84" s="40"/>
      <c r="C84" s="41"/>
      <c r="D84" s="85" t="s">
        <v>76</v>
      </c>
      <c r="E84" s="142">
        <f>200/7.5345</f>
        <v>26.54456168292521</v>
      </c>
      <c r="F84" s="142">
        <f t="shared" ref="F84:G84" si="32">200/7.5345</f>
        <v>26.54456168292521</v>
      </c>
      <c r="G84" s="142">
        <f t="shared" si="32"/>
        <v>26.54456168292521</v>
      </c>
    </row>
    <row r="85" spans="1:7" x14ac:dyDescent="0.25">
      <c r="A85" s="93">
        <v>3</v>
      </c>
      <c r="B85" s="42"/>
      <c r="C85" s="43"/>
      <c r="D85" s="85" t="s">
        <v>21</v>
      </c>
      <c r="E85" s="129">
        <v>26.54</v>
      </c>
      <c r="F85" s="129">
        <v>26.54</v>
      </c>
      <c r="G85" s="129">
        <v>26.54</v>
      </c>
    </row>
    <row r="86" spans="1:7" x14ac:dyDescent="0.25">
      <c r="A86" s="39"/>
      <c r="B86" s="35">
        <v>32</v>
      </c>
      <c r="C86" s="41"/>
      <c r="D86" s="85" t="s">
        <v>34</v>
      </c>
      <c r="E86" s="129">
        <v>26.54</v>
      </c>
      <c r="F86" s="129">
        <v>26.54</v>
      </c>
      <c r="G86" s="129">
        <v>26.54</v>
      </c>
    </row>
  </sheetData>
  <mergeCells count="25">
    <mergeCell ref="A9:C9"/>
    <mergeCell ref="A15:C15"/>
    <mergeCell ref="A16:C16"/>
    <mergeCell ref="A57:C57"/>
    <mergeCell ref="A26:C26"/>
    <mergeCell ref="A45:C45"/>
    <mergeCell ref="A12:C12"/>
    <mergeCell ref="A19:C19"/>
    <mergeCell ref="A20:C20"/>
    <mergeCell ref="A35:C35"/>
    <mergeCell ref="A55:C55"/>
    <mergeCell ref="A56:C56"/>
    <mergeCell ref="A1:G1"/>
    <mergeCell ref="A3:G3"/>
    <mergeCell ref="A5:C5"/>
    <mergeCell ref="A7:C7"/>
    <mergeCell ref="A8:C8"/>
    <mergeCell ref="A6:C6"/>
    <mergeCell ref="A81:C81"/>
    <mergeCell ref="A61:C61"/>
    <mergeCell ref="A65:C65"/>
    <mergeCell ref="A76:C76"/>
    <mergeCell ref="A62:C62"/>
    <mergeCell ref="A71:C71"/>
    <mergeCell ref="A80:C80"/>
  </mergeCells>
  <pageMargins left="0.7" right="0.7" top="0.75" bottom="0.75" header="0.3" footer="0.3"/>
  <pageSetup paperSize="9" scale="45" orientation="portrait" r:id="rId1"/>
  <ignoredErrors>
    <ignoredError sqref="F68:F70 F4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C13" sqref="C13"/>
    </sheetView>
  </sheetViews>
  <sheetFormatPr defaultRowHeight="15" x14ac:dyDescent="0.25"/>
  <cols>
    <col min="2" max="2" width="57.5703125" customWidth="1"/>
    <col min="3" max="3" width="14.42578125" style="171" customWidth="1"/>
    <col min="4" max="4" width="16.85546875" style="171" customWidth="1"/>
    <col min="5" max="5" width="16.140625" style="171" customWidth="1"/>
  </cols>
  <sheetData>
    <row r="1" spans="1:5" ht="23.25" x14ac:dyDescent="0.35">
      <c r="A1" s="233" t="s">
        <v>90</v>
      </c>
      <c r="B1" s="234"/>
      <c r="C1" s="234"/>
      <c r="D1" s="234"/>
      <c r="E1" s="234"/>
    </row>
    <row r="2" spans="1:5" x14ac:dyDescent="0.25">
      <c r="A2" s="57"/>
      <c r="B2" s="235" t="s">
        <v>91</v>
      </c>
      <c r="C2" s="235"/>
      <c r="D2" s="235"/>
      <c r="E2" s="235"/>
    </row>
    <row r="3" spans="1:5" x14ac:dyDescent="0.25">
      <c r="A3" s="57"/>
      <c r="B3" s="57"/>
      <c r="C3" s="149"/>
      <c r="D3" s="150"/>
      <c r="E3" s="150"/>
    </row>
    <row r="4" spans="1:5" x14ac:dyDescent="0.25">
      <c r="A4" s="58"/>
      <c r="B4" s="56"/>
      <c r="C4" s="151"/>
      <c r="D4" s="152"/>
      <c r="E4" s="153"/>
    </row>
    <row r="5" spans="1:5" x14ac:dyDescent="0.25">
      <c r="A5" s="59"/>
      <c r="B5" s="59"/>
      <c r="C5" s="154"/>
      <c r="D5" s="155"/>
      <c r="E5" s="156"/>
    </row>
    <row r="6" spans="1:5" ht="28.5" x14ac:dyDescent="0.25">
      <c r="A6" s="122" t="s">
        <v>92</v>
      </c>
      <c r="B6" s="122" t="s">
        <v>93</v>
      </c>
      <c r="C6" s="157" t="s">
        <v>103</v>
      </c>
      <c r="D6" s="158" t="s">
        <v>104</v>
      </c>
      <c r="E6" s="158" t="s">
        <v>105</v>
      </c>
    </row>
    <row r="7" spans="1:5" x14ac:dyDescent="0.25">
      <c r="A7" s="60"/>
      <c r="B7" s="60"/>
      <c r="C7" s="159"/>
      <c r="D7" s="160"/>
      <c r="E7" s="161"/>
    </row>
    <row r="8" spans="1:5" x14ac:dyDescent="0.25">
      <c r="A8" s="61">
        <v>1</v>
      </c>
      <c r="B8" s="61" t="s">
        <v>94</v>
      </c>
      <c r="C8" s="162"/>
      <c r="D8" s="162"/>
      <c r="E8" s="161"/>
    </row>
    <row r="9" spans="1:5" x14ac:dyDescent="0.25">
      <c r="A9" s="62"/>
      <c r="B9" s="63" t="s">
        <v>95</v>
      </c>
      <c r="C9" s="163">
        <f>2287183/7.5345</f>
        <v>303561.35111818963</v>
      </c>
      <c r="D9" s="161">
        <f>2337183/7.5345</f>
        <v>310197.49153892096</v>
      </c>
      <c r="E9" s="161">
        <f>2372183/7.5345</f>
        <v>314842.78983343288</v>
      </c>
    </row>
    <row r="10" spans="1:5" x14ac:dyDescent="0.25">
      <c r="A10" s="62"/>
      <c r="B10" s="64" t="s">
        <v>96</v>
      </c>
      <c r="C10" s="163">
        <f>2287183/7.5345</f>
        <v>303561.35111818963</v>
      </c>
      <c r="D10" s="161">
        <f>2337183/7.5345</f>
        <v>310197.49153892096</v>
      </c>
      <c r="E10" s="161">
        <f>2372183/7.5345</f>
        <v>314842.78983343288</v>
      </c>
    </row>
    <row r="11" spans="1:5" x14ac:dyDescent="0.25">
      <c r="A11" s="62"/>
      <c r="B11" s="63"/>
      <c r="C11" s="163"/>
      <c r="D11" s="164"/>
      <c r="E11" s="161"/>
    </row>
    <row r="12" spans="1:5" x14ac:dyDescent="0.25">
      <c r="A12" s="66">
        <v>3</v>
      </c>
      <c r="B12" s="69" t="s">
        <v>97</v>
      </c>
      <c r="C12" s="165"/>
      <c r="D12" s="165"/>
      <c r="E12" s="161"/>
    </row>
    <row r="13" spans="1:5" x14ac:dyDescent="0.25">
      <c r="A13" s="62"/>
      <c r="B13" s="65" t="s">
        <v>95</v>
      </c>
      <c r="C13" s="163">
        <f>87610/7.5345</f>
        <v>11627.845245205388</v>
      </c>
      <c r="D13" s="164">
        <f>90610/7.5345</f>
        <v>12026.013670449265</v>
      </c>
      <c r="E13" s="164">
        <f>90610/7.5345</f>
        <v>12026.013670449265</v>
      </c>
    </row>
    <row r="14" spans="1:5" x14ac:dyDescent="0.25">
      <c r="A14" s="66"/>
      <c r="B14" s="64" t="s">
        <v>96</v>
      </c>
      <c r="C14" s="163">
        <f>123610/7.5345</f>
        <v>16405.866348131927</v>
      </c>
      <c r="D14" s="163">
        <f>110610/7.5345</f>
        <v>14680.469838741787</v>
      </c>
      <c r="E14" s="164">
        <f>90610/7.5345</f>
        <v>12026.013670449265</v>
      </c>
    </row>
    <row r="15" spans="1:5" x14ac:dyDescent="0.25">
      <c r="A15" s="67"/>
      <c r="B15" s="68" t="s">
        <v>98</v>
      </c>
      <c r="C15" s="163">
        <f>36000/7.5345</f>
        <v>4778.0211029265374</v>
      </c>
      <c r="D15" s="163">
        <f>20000/7.5345</f>
        <v>2654.4561682925209</v>
      </c>
      <c r="E15" s="161">
        <v>0</v>
      </c>
    </row>
    <row r="16" spans="1:5" x14ac:dyDescent="0.25">
      <c r="A16" s="62"/>
      <c r="B16" s="63"/>
      <c r="C16" s="163"/>
      <c r="D16" s="164"/>
      <c r="E16" s="161"/>
    </row>
    <row r="17" spans="1:5" x14ac:dyDescent="0.25">
      <c r="A17" s="66">
        <v>4</v>
      </c>
      <c r="B17" s="69" t="s">
        <v>99</v>
      </c>
      <c r="C17" s="165"/>
      <c r="D17" s="165"/>
      <c r="E17" s="161"/>
    </row>
    <row r="18" spans="1:5" x14ac:dyDescent="0.25">
      <c r="A18" s="62"/>
      <c r="B18" s="65" t="s">
        <v>95</v>
      </c>
      <c r="C18" s="163">
        <f>5000/7.5345</f>
        <v>663.61404207313024</v>
      </c>
      <c r="D18" s="163">
        <f t="shared" ref="D18:E19" si="0">5000/7.5345</f>
        <v>663.61404207313024</v>
      </c>
      <c r="E18" s="163">
        <f t="shared" si="0"/>
        <v>663.61404207313024</v>
      </c>
    </row>
    <row r="19" spans="1:5" x14ac:dyDescent="0.25">
      <c r="A19" s="62"/>
      <c r="B19" s="64" t="s">
        <v>96</v>
      </c>
      <c r="C19" s="163">
        <f>5000/7.5345</f>
        <v>663.61404207313024</v>
      </c>
      <c r="D19" s="163">
        <f t="shared" si="0"/>
        <v>663.61404207313024</v>
      </c>
      <c r="E19" s="163">
        <f t="shared" si="0"/>
        <v>663.61404207313024</v>
      </c>
    </row>
    <row r="20" spans="1:5" x14ac:dyDescent="0.25">
      <c r="A20" s="67"/>
      <c r="B20" s="68"/>
      <c r="C20" s="163">
        <v>0</v>
      </c>
      <c r="D20" s="163">
        <v>0</v>
      </c>
      <c r="E20" s="161">
        <v>0</v>
      </c>
    </row>
    <row r="21" spans="1:5" x14ac:dyDescent="0.25">
      <c r="A21" s="66">
        <v>5</v>
      </c>
      <c r="B21" s="69" t="s">
        <v>100</v>
      </c>
      <c r="C21" s="165"/>
      <c r="D21" s="165"/>
      <c r="E21" s="161"/>
    </row>
    <row r="22" spans="1:5" x14ac:dyDescent="0.25">
      <c r="A22" s="62"/>
      <c r="B22" s="65" t="s">
        <v>95</v>
      </c>
      <c r="C22" s="163">
        <f>13822262/7.5345</f>
        <v>1834529.4312827659</v>
      </c>
      <c r="D22" s="164">
        <f>14463300/7.5345</f>
        <v>1919609.794943261</v>
      </c>
      <c r="E22" s="161">
        <f>15085975/7.5345</f>
        <v>2002252.9696728382</v>
      </c>
    </row>
    <row r="23" spans="1:5" x14ac:dyDescent="0.25">
      <c r="A23" s="62"/>
      <c r="B23" s="64" t="s">
        <v>96</v>
      </c>
      <c r="C23" s="163">
        <f>13822262/7.5345</f>
        <v>1834529.4312827659</v>
      </c>
      <c r="D23" s="164">
        <f>14463300/7.5345</f>
        <v>1919609.794943261</v>
      </c>
      <c r="E23" s="161">
        <f>15085975/7.5345</f>
        <v>2002252.9696728382</v>
      </c>
    </row>
    <row r="24" spans="1:5" x14ac:dyDescent="0.25">
      <c r="A24" s="62"/>
      <c r="B24" s="63"/>
      <c r="C24" s="163"/>
      <c r="D24" s="164"/>
      <c r="E24" s="161"/>
    </row>
    <row r="25" spans="1:5" x14ac:dyDescent="0.25">
      <c r="A25" s="70">
        <v>6</v>
      </c>
      <c r="B25" s="71" t="s">
        <v>101</v>
      </c>
      <c r="C25" s="165"/>
      <c r="D25" s="165"/>
      <c r="E25" s="161"/>
    </row>
    <row r="26" spans="1:5" x14ac:dyDescent="0.25">
      <c r="A26" s="62"/>
      <c r="B26" s="65" t="s">
        <v>95</v>
      </c>
      <c r="C26" s="163">
        <f>3900/7.5345</f>
        <v>517.61895281704153</v>
      </c>
      <c r="D26" s="164">
        <f>4000/7.5345</f>
        <v>530.89123365850423</v>
      </c>
      <c r="E26" s="164">
        <f>4000/7.5345</f>
        <v>530.89123365850423</v>
      </c>
    </row>
    <row r="27" spans="1:5" x14ac:dyDescent="0.25">
      <c r="A27" s="62"/>
      <c r="B27" s="64" t="s">
        <v>96</v>
      </c>
      <c r="C27" s="163">
        <f>3900/7.5345</f>
        <v>517.61895281704153</v>
      </c>
      <c r="D27" s="164">
        <f>4000/7.5345</f>
        <v>530.89123365850423</v>
      </c>
      <c r="E27" s="164">
        <f>4000/7.5345</f>
        <v>530.89123365850423</v>
      </c>
    </row>
    <row r="28" spans="1:5" x14ac:dyDescent="0.25">
      <c r="A28" s="62"/>
      <c r="B28" s="63"/>
      <c r="C28" s="166"/>
      <c r="D28" s="164"/>
      <c r="E28" s="160"/>
    </row>
    <row r="29" spans="1:5" x14ac:dyDescent="0.25">
      <c r="A29" s="62"/>
      <c r="B29" s="63"/>
      <c r="C29" s="166"/>
      <c r="D29" s="164"/>
      <c r="E29" s="160"/>
    </row>
    <row r="30" spans="1:5" x14ac:dyDescent="0.25">
      <c r="A30" s="62"/>
      <c r="B30" s="63"/>
      <c r="C30" s="166"/>
      <c r="D30" s="164"/>
      <c r="E30" s="160"/>
    </row>
    <row r="31" spans="1:5" x14ac:dyDescent="0.25">
      <c r="A31" s="123"/>
      <c r="B31" s="124" t="s">
        <v>89</v>
      </c>
      <c r="C31" s="167">
        <f>C9+C13+C18+C22+C26</f>
        <v>2150899.8606410511</v>
      </c>
      <c r="D31" s="167">
        <f t="shared" ref="C31:E32" si="1">D9+D13+D18+D22+D26</f>
        <v>2243027.8054283629</v>
      </c>
      <c r="E31" s="167">
        <f t="shared" si="1"/>
        <v>2330316.2784524518</v>
      </c>
    </row>
    <row r="32" spans="1:5" x14ac:dyDescent="0.25">
      <c r="A32" s="125"/>
      <c r="B32" s="124" t="s">
        <v>26</v>
      </c>
      <c r="C32" s="167">
        <f t="shared" si="1"/>
        <v>2155677.8817439773</v>
      </c>
      <c r="D32" s="167">
        <f t="shared" si="1"/>
        <v>2245682.2615966555</v>
      </c>
      <c r="E32" s="167">
        <f>E10+E14+E19+E23+E27</f>
        <v>2330316.2784524518</v>
      </c>
    </row>
    <row r="33" spans="1:5" x14ac:dyDescent="0.25">
      <c r="A33" s="123"/>
      <c r="B33" s="124" t="s">
        <v>102</v>
      </c>
      <c r="C33" s="168">
        <f>36000/7.5345</f>
        <v>4778.0211029265374</v>
      </c>
      <c r="D33" s="168">
        <f>20000/7.5345</f>
        <v>2654.4561682925209</v>
      </c>
      <c r="E33" s="169">
        <v>0</v>
      </c>
    </row>
    <row r="34" spans="1:5" x14ac:dyDescent="0.25">
      <c r="A34" s="62"/>
      <c r="B34" s="63"/>
      <c r="C34" s="166"/>
      <c r="D34" s="170"/>
      <c r="E34" s="160"/>
    </row>
    <row r="35" spans="1:5" x14ac:dyDescent="0.25">
      <c r="A35" s="62"/>
      <c r="B35" s="63"/>
      <c r="C35" s="166"/>
      <c r="D35" s="152"/>
      <c r="E35" s="160"/>
    </row>
  </sheetData>
  <mergeCells count="2">
    <mergeCell ref="A1:E1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Pregled ukupno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OŠ Zadarski otoci</cp:lastModifiedBy>
  <cp:lastPrinted>2022-10-11T07:55:59Z</cp:lastPrinted>
  <dcterms:created xsi:type="dcterms:W3CDTF">2022-08-12T12:51:27Z</dcterms:created>
  <dcterms:modified xsi:type="dcterms:W3CDTF">2022-10-20T08:16:24Z</dcterms:modified>
</cp:coreProperties>
</file>